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ummary" sheetId="1" r:id="rId1"/>
    <sheet name="Foods" sheetId="2" r:id="rId2"/>
    <sheet name="Food Remaining" sheetId="3" r:id="rId3"/>
    <sheet name="Expenses" sheetId="4" r:id="rId4"/>
  </sheets>
  <definedNames/>
  <calcPr fullCalcOnLoad="1"/>
</workbook>
</file>

<file path=xl/sharedStrings.xml><?xml version="1.0" encoding="utf-8"?>
<sst xmlns="http://schemas.openxmlformats.org/spreadsheetml/2006/main" count="416" uniqueCount="189">
  <si>
    <t>Missinaibi 2010 Menu Plan</t>
  </si>
  <si>
    <t>CALORIE GOALS</t>
  </si>
  <si>
    <t>Participants</t>
  </si>
  <si>
    <t># of days on trip</t>
  </si>
  <si>
    <t>Metabolism (cal/d)</t>
  </si>
  <si>
    <t>Total Cal</t>
  </si>
  <si>
    <t>Dave</t>
  </si>
  <si>
    <t>Kielyn</t>
  </si>
  <si>
    <t>Group Total</t>
  </si>
  <si>
    <t>CALORIES CARRIED</t>
  </si>
  <si>
    <t>Total calories</t>
  </si>
  <si>
    <t>Percentage of target</t>
  </si>
  <si>
    <t xml:space="preserve">NUTRIENT PERCENTAGES </t>
  </si>
  <si>
    <t>Total Grams</t>
  </si>
  <si>
    <t xml:space="preserve">Total Calories </t>
  </si>
  <si>
    <t>% of Calories</t>
  </si>
  <si>
    <t>Carbs</t>
  </si>
  <si>
    <t>Protein</t>
  </si>
  <si>
    <t>Fat</t>
  </si>
  <si>
    <t>Sum</t>
  </si>
  <si>
    <t>SUMMARY</t>
  </si>
  <si>
    <t>Weight (kg / pounds)</t>
  </si>
  <si>
    <t>Calories / gram</t>
  </si>
  <si>
    <t>Cost</t>
  </si>
  <si>
    <t>Calories / Dollar</t>
  </si>
  <si>
    <t>FOOD REMAINING</t>
  </si>
  <si>
    <t>Calories</t>
  </si>
  <si>
    <t>Percentage of Whole</t>
  </si>
  <si>
    <t>FOOD CONSUMED</t>
  </si>
  <si>
    <t>Days on Trip</t>
  </si>
  <si>
    <t>Calories / Day</t>
  </si>
  <si>
    <t>Projected calories / day</t>
  </si>
  <si>
    <t>Participant Weights</t>
  </si>
  <si>
    <t>Pre Trip</t>
  </si>
  <si>
    <t>Post Trip</t>
  </si>
  <si>
    <t>Product</t>
  </si>
  <si>
    <t>Quantity</t>
  </si>
  <si>
    <t>Unit</t>
  </si>
  <si>
    <t>Unit Weight (g)</t>
  </si>
  <si>
    <t>Weight (g)</t>
  </si>
  <si>
    <t>Cal/ Gram</t>
  </si>
  <si>
    <t>Packed</t>
  </si>
  <si>
    <t>Purchased</t>
  </si>
  <si>
    <t>Still need</t>
  </si>
  <si>
    <t>Partially filled</t>
  </si>
  <si>
    <t>Drinks</t>
  </si>
  <si>
    <t>Cocoa Mix</t>
  </si>
  <si>
    <t>kg</t>
  </si>
  <si>
    <t>Tea</t>
  </si>
  <si>
    <t>Drink Crystals</t>
  </si>
  <si>
    <t>Iced Tea</t>
  </si>
  <si>
    <t>Juice Crystals</t>
  </si>
  <si>
    <t>Milk Powder</t>
  </si>
  <si>
    <t xml:space="preserve">kilogram </t>
  </si>
  <si>
    <t>Fats/ Meat/ Cheese</t>
  </si>
  <si>
    <t>Cheese</t>
  </si>
  <si>
    <t>Regular Cheddar</t>
  </si>
  <si>
    <t>500g bricks</t>
  </si>
  <si>
    <t>Parmesan</t>
  </si>
  <si>
    <t xml:space="preserve">kg  </t>
  </si>
  <si>
    <t>Butter</t>
  </si>
  <si>
    <t>454g bricks</t>
  </si>
  <si>
    <t>Oil</t>
  </si>
  <si>
    <t>Litres</t>
  </si>
  <si>
    <t>Meat</t>
  </si>
  <si>
    <t>Beef</t>
  </si>
  <si>
    <t>Pepperettes</t>
  </si>
  <si>
    <t>Bags</t>
  </si>
  <si>
    <t>Hamburger Patties – Medium</t>
  </si>
  <si>
    <t>kilograms</t>
  </si>
  <si>
    <t>Genoa Salami</t>
  </si>
  <si>
    <t>Sausage</t>
  </si>
  <si>
    <t>Bacon</t>
  </si>
  <si>
    <t>Packages</t>
  </si>
  <si>
    <t>Sliced Meats (ham, beef, turkey)</t>
  </si>
  <si>
    <t>Spreads</t>
  </si>
  <si>
    <t>Peanut Butter</t>
  </si>
  <si>
    <t>kg jar</t>
  </si>
  <si>
    <t>Honey</t>
  </si>
  <si>
    <t>jar</t>
  </si>
  <si>
    <t>Nutella</t>
  </si>
  <si>
    <t xml:space="preserve">package </t>
  </si>
  <si>
    <t>Jam</t>
  </si>
  <si>
    <t>Cream Cheese</t>
  </si>
  <si>
    <t>Maple Syrup</t>
  </si>
  <si>
    <t>litres</t>
  </si>
  <si>
    <t>Staples</t>
  </si>
  <si>
    <t>Grains</t>
  </si>
  <si>
    <t>Basmati Rice</t>
  </si>
  <si>
    <t>servings</t>
  </si>
  <si>
    <t>Brown Rice</t>
  </si>
  <si>
    <t>Barley</t>
  </si>
  <si>
    <t>Spaghetti or Penne</t>
  </si>
  <si>
    <t>Kraft Mac n' Cheese</t>
  </si>
  <si>
    <t>boxes</t>
  </si>
  <si>
    <t>Macaroni</t>
  </si>
  <si>
    <t>Flour</t>
  </si>
  <si>
    <t>Pancake/ baking mix</t>
  </si>
  <si>
    <t>Legumes</t>
  </si>
  <si>
    <t>Lentils</t>
  </si>
  <si>
    <t>Beans</t>
  </si>
  <si>
    <t>Breakfast Stuff</t>
  </si>
  <si>
    <t>Oatmeal</t>
  </si>
  <si>
    <t>Granola</t>
  </si>
  <si>
    <t>Breads</t>
  </si>
  <si>
    <t>Bagels</t>
  </si>
  <si>
    <t>medium bagels</t>
  </si>
  <si>
    <t>English Muffins</t>
  </si>
  <si>
    <t>Muffins</t>
  </si>
  <si>
    <t>Other</t>
  </si>
  <si>
    <t>Potato Pearls</t>
  </si>
  <si>
    <t>22g servings</t>
  </si>
  <si>
    <t>Egg Powder</t>
  </si>
  <si>
    <t>eggs</t>
  </si>
  <si>
    <t>Sugar</t>
  </si>
  <si>
    <t>Baking Powder</t>
  </si>
  <si>
    <t>tube</t>
  </si>
  <si>
    <t>Creamed Coconut</t>
  </si>
  <si>
    <t>blocks</t>
  </si>
  <si>
    <t>Home dried potato</t>
  </si>
  <si>
    <t>medium potatoes</t>
  </si>
  <si>
    <t>Protein Powder</t>
  </si>
  <si>
    <t>600g buckets</t>
  </si>
  <si>
    <t>Hemp/ Flax packs</t>
  </si>
  <si>
    <t>Packets</t>
  </si>
  <si>
    <t>TVP</t>
  </si>
  <si>
    <t>Spice Kit</t>
  </si>
  <si>
    <t>Thai Coconut chicken</t>
  </si>
  <si>
    <t>Pad Thai</t>
  </si>
  <si>
    <t>Cream of Mushroom Soup</t>
  </si>
  <si>
    <t>Cream of Brocolli Soup</t>
  </si>
  <si>
    <t>Cheese Sauce mix</t>
  </si>
  <si>
    <t>100g</t>
  </si>
  <si>
    <t>Alfredo Sauce Mix</t>
  </si>
  <si>
    <t>Shepards`s Pie Seasoning</t>
  </si>
  <si>
    <t>Boullion Cube Packages</t>
  </si>
  <si>
    <t>Fish Crisp</t>
  </si>
  <si>
    <t xml:space="preserve">Packet </t>
  </si>
  <si>
    <t>Fruits and Vegetables</t>
  </si>
  <si>
    <t>Dried Fruits</t>
  </si>
  <si>
    <t>Blueberries</t>
  </si>
  <si>
    <t>Peaches</t>
  </si>
  <si>
    <t>Apple</t>
  </si>
  <si>
    <t>Dates</t>
  </si>
  <si>
    <t>Raisins</t>
  </si>
  <si>
    <t>Craisins</t>
  </si>
  <si>
    <t>1.36kg bag</t>
  </si>
  <si>
    <t>Dried Vegetables</t>
  </si>
  <si>
    <t>Corn</t>
  </si>
  <si>
    <t>Peas</t>
  </si>
  <si>
    <t>Carrots</t>
  </si>
  <si>
    <t>Onion</t>
  </si>
  <si>
    <t>Medium Onions</t>
  </si>
  <si>
    <t>Celery</t>
  </si>
  <si>
    <t>Nuts/ Seeds</t>
  </si>
  <si>
    <t>Almonds</t>
  </si>
  <si>
    <t>bag</t>
  </si>
  <si>
    <t>Walnuts</t>
  </si>
  <si>
    <t xml:space="preserve">bag </t>
  </si>
  <si>
    <t>Flax Seeds</t>
  </si>
  <si>
    <t>Bars</t>
  </si>
  <si>
    <t>Logan Bread</t>
  </si>
  <si>
    <t>Pans</t>
  </si>
  <si>
    <t>Candy</t>
  </si>
  <si>
    <t>Mini Eggs</t>
  </si>
  <si>
    <t>Chocolate Bars (mars, snickers, etc)</t>
  </si>
  <si>
    <t>Giant Chocolate Bars (PC, dark w/ almonds)</t>
  </si>
  <si>
    <t>Chocolate Chips</t>
  </si>
  <si>
    <t>JuJubes</t>
  </si>
  <si>
    <t>Clif Bars</t>
  </si>
  <si>
    <t>Rum</t>
  </si>
  <si>
    <t>bottle</t>
  </si>
  <si>
    <t>Total</t>
  </si>
  <si>
    <t>Kie</t>
  </si>
  <si>
    <t>Combined:</t>
  </si>
  <si>
    <t>Costco</t>
  </si>
  <si>
    <t>Minus mom</t>
  </si>
  <si>
    <t>Apples</t>
  </si>
  <si>
    <t>No frills</t>
  </si>
  <si>
    <t xml:space="preserve">Nestea </t>
  </si>
  <si>
    <t>BB</t>
  </si>
  <si>
    <t>Dried Veg</t>
  </si>
  <si>
    <t>Sold to roomies</t>
  </si>
  <si>
    <t>Eggs</t>
  </si>
  <si>
    <t>Wellness, etc</t>
  </si>
  <si>
    <t>Coconut</t>
  </si>
  <si>
    <t>Chocolate Bars, flour</t>
  </si>
  <si>
    <t>Superstore</t>
  </si>
  <si>
    <t>Bulk Barn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</si>
</sst>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YY/MM/DD"/>
    <numFmt numFmtId="167" formatCode="#\ ##0"/>
    <numFmt numFmtId="168" formatCode="0.00%"/>
    <numFmt numFmtId="169" formatCode="GENERAL"/>
    <numFmt numFmtId="170" formatCode="0.0%"/>
    <numFmt numFmtId="171" formatCode="[$$-1009]#,##0.00;[RED]\-[$$-1009]#,##0.00"/>
  </numFmts>
  <fonts count="10">
    <font>
      <sz val="10"/>
      <name val="Arial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i/>
      <sz val="16"/>
      <color indexed="8"/>
      <name val="Calibri"/>
      <family val="2"/>
    </font>
    <font>
      <b/>
      <i/>
      <sz val="1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5" fillId="0" borderId="0" applyNumberFormat="0" applyFont="0" applyFill="0" applyBorder="0" applyProtection="0">
      <alignment horizontal="center" textRotation="90"/>
    </xf>
    <xf numFmtId="164" fontId="7" fillId="0" borderId="0">
      <alignment/>
      <protection/>
    </xf>
    <xf numFmtId="164" fontId="5" fillId="0" borderId="0" applyNumberFormat="0" applyFont="0" applyFill="0" applyBorder="0" applyProtection="0">
      <alignment horizontal="center"/>
    </xf>
  </cellStyleXfs>
  <cellXfs count="32">
    <xf numFmtId="164" fontId="0" fillId="0" borderId="0" xfId="0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7" fontId="0" fillId="2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4" fillId="0" borderId="0" xfId="21" applyFont="1" applyFill="1">
      <alignment horizontal="center" textRotation="90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0" borderId="0" xfId="22" applyFont="1" applyFill="1">
      <alignment/>
      <protection/>
    </xf>
    <xf numFmtId="164" fontId="8" fillId="0" borderId="0" xfId="23" applyFont="1" applyFill="1">
      <alignment horizontal="center"/>
    </xf>
    <xf numFmtId="164" fontId="6" fillId="3" borderId="0" xfId="22" applyFont="1" applyFill="1">
      <alignment/>
      <protection/>
    </xf>
    <xf numFmtId="164" fontId="1" fillId="0" borderId="0" xfId="20" applyFont="1">
      <alignment/>
      <protection/>
    </xf>
    <xf numFmtId="164" fontId="5" fillId="0" borderId="0" xfId="23" applyFont="1">
      <alignment horizontal="center"/>
    </xf>
    <xf numFmtId="164" fontId="6" fillId="3" borderId="0" xfId="20" applyFont="1" applyFill="1">
      <alignment/>
      <protection/>
    </xf>
    <xf numFmtId="164" fontId="6" fillId="5" borderId="0" xfId="22" applyFont="1" applyFill="1">
      <alignment/>
      <protection/>
    </xf>
    <xf numFmtId="164" fontId="1" fillId="0" borderId="0" xfId="22" applyFont="1" applyFill="1">
      <alignment/>
      <protection/>
    </xf>
    <xf numFmtId="164" fontId="6" fillId="3" borderId="0" xfId="23" applyFont="1" applyFill="1">
      <alignment horizontal="center"/>
    </xf>
    <xf numFmtId="164" fontId="6" fillId="0" borderId="0" xfId="23" applyFont="1" applyFill="1">
      <alignment horizontal="center"/>
    </xf>
    <xf numFmtId="164" fontId="5" fillId="0" borderId="0" xfId="23" applyFont="1" applyFill="1">
      <alignment horizontal="center"/>
    </xf>
    <xf numFmtId="164" fontId="0" fillId="3" borderId="0" xfId="0" applyFont="1" applyFill="1" applyAlignment="1">
      <alignment/>
    </xf>
    <xf numFmtId="164" fontId="9" fillId="0" borderId="0" xfId="0" applyFont="1" applyAlignment="1">
      <alignment wrapText="1"/>
    </xf>
    <xf numFmtId="164" fontId="5" fillId="0" borderId="0" xfId="0" applyFont="1" applyFill="1" applyAlignment="1">
      <alignment horizontal="center"/>
    </xf>
    <xf numFmtId="164" fontId="6" fillId="0" borderId="0" xfId="20" applyFont="1" applyFill="1">
      <alignment/>
      <protection/>
    </xf>
    <xf numFmtId="164" fontId="1" fillId="0" borderId="0" xfId="20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3" xfId="20"/>
    <cellStyle name="Heading1" xfId="21"/>
    <cellStyle name="Excel Built-in Normal" xfId="22"/>
    <cellStyle name="Heading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80" zoomScaleNormal="80" workbookViewId="0" topLeftCell="A1">
      <selection activeCell="B23" sqref="B23"/>
    </sheetView>
  </sheetViews>
  <sheetFormatPr defaultColWidth="12.57421875" defaultRowHeight="12.75"/>
  <cols>
    <col min="1" max="1" width="25.57421875" style="0" customWidth="1"/>
    <col min="2" max="2" width="15.57421875" style="0" customWidth="1"/>
    <col min="3" max="3" width="16.8515625" style="0" customWidth="1"/>
    <col min="4" max="4" width="24.28125" style="0" customWidth="1"/>
    <col min="5" max="16384" width="11.57421875" style="0" customWidth="1"/>
  </cols>
  <sheetData>
    <row r="1" ht="12.75">
      <c r="A1" t="s">
        <v>0</v>
      </c>
    </row>
    <row r="4" ht="12.75">
      <c r="A4" s="1" t="s">
        <v>1</v>
      </c>
    </row>
    <row r="5" spans="1:4" ht="12.75">
      <c r="A5" t="s">
        <v>2</v>
      </c>
      <c r="B5" t="s">
        <v>3</v>
      </c>
      <c r="C5" t="s">
        <v>4</v>
      </c>
      <c r="D5" t="s">
        <v>5</v>
      </c>
    </row>
    <row r="6" spans="1:4" ht="12.75">
      <c r="A6" t="s">
        <v>6</v>
      </c>
      <c r="B6">
        <v>45</v>
      </c>
      <c r="C6">
        <v>6200</v>
      </c>
      <c r="D6" s="2">
        <f>B6*C6</f>
        <v>279000</v>
      </c>
    </row>
    <row r="7" spans="1:4" ht="12.75">
      <c r="A7" t="s">
        <v>7</v>
      </c>
      <c r="B7">
        <v>45</v>
      </c>
      <c r="C7">
        <v>4800</v>
      </c>
      <c r="D7" s="2">
        <f>B7*C7</f>
        <v>216000</v>
      </c>
    </row>
    <row r="9" spans="3:4" ht="12.75">
      <c r="C9" t="s">
        <v>8</v>
      </c>
      <c r="D9" s="2">
        <f>SUM(D6:D7)</f>
        <v>495000</v>
      </c>
    </row>
    <row r="11" ht="12.75">
      <c r="A11" s="3" t="s">
        <v>9</v>
      </c>
    </row>
    <row r="12" spans="1:2" ht="12.75">
      <c r="A12" t="s">
        <v>10</v>
      </c>
      <c r="B12" s="2">
        <f>SUM(Foods!F3:F231)</f>
        <v>530995.79</v>
      </c>
    </row>
    <row r="13" spans="1:2" ht="12.75">
      <c r="A13" t="s">
        <v>11</v>
      </c>
      <c r="B13" s="4">
        <f>B12/D9</f>
        <v>1.0727187676767678</v>
      </c>
    </row>
    <row r="15" ht="12.75">
      <c r="A15" t="s">
        <v>12</v>
      </c>
    </row>
    <row r="16" spans="2:4" ht="12.75">
      <c r="B16" t="s">
        <v>13</v>
      </c>
      <c r="C16" t="s">
        <v>14</v>
      </c>
      <c r="D16" t="s">
        <v>15</v>
      </c>
    </row>
    <row r="17" spans="1:4" ht="12.75">
      <c r="A17" t="s">
        <v>16</v>
      </c>
      <c r="B17" s="5">
        <f>SUM(Foods!H3:H208)</f>
        <v>58701.519</v>
      </c>
      <c r="C17" s="5">
        <f>B17*4</f>
        <v>234806.076</v>
      </c>
      <c r="D17" s="6">
        <f>C17/C20</f>
        <v>0.4387446609818788</v>
      </c>
    </row>
    <row r="18" spans="1:4" ht="12.75">
      <c r="A18" t="s">
        <v>17</v>
      </c>
      <c r="B18" s="5">
        <f>SUM(Foods!G3:G224)</f>
        <v>17772.690000000002</v>
      </c>
      <c r="C18" s="5">
        <f>B18*4</f>
        <v>71090.76000000001</v>
      </c>
      <c r="D18" s="6">
        <f>C18/C20</f>
        <v>0.13283596373010428</v>
      </c>
    </row>
    <row r="19" spans="1:4" ht="12.75">
      <c r="A19" t="s">
        <v>18</v>
      </c>
      <c r="B19" s="5">
        <f>SUM(Foods!I3:I231)</f>
        <v>25475.58</v>
      </c>
      <c r="C19" s="5">
        <f>B19*9</f>
        <v>229280.22000000003</v>
      </c>
      <c r="D19" s="6">
        <f>C19/C20</f>
        <v>0.4284193752880168</v>
      </c>
    </row>
    <row r="20" spans="2:3" ht="12.75">
      <c r="B20" t="s">
        <v>19</v>
      </c>
      <c r="C20" s="5">
        <f>SUM(C17:C19)</f>
        <v>535177.0560000001</v>
      </c>
    </row>
    <row r="22" ht="12.75">
      <c r="A22" t="s">
        <v>20</v>
      </c>
    </row>
    <row r="23" spans="1:3" ht="12.75">
      <c r="A23" t="s">
        <v>21</v>
      </c>
      <c r="B23" s="5">
        <f>Foods!E121/1000</f>
        <v>128.565</v>
      </c>
      <c r="C23" s="5">
        <f>B23*2.2</f>
        <v>282.843</v>
      </c>
    </row>
    <row r="24" spans="1:2" ht="12.75">
      <c r="A24" t="s">
        <v>22</v>
      </c>
      <c r="B24" s="5">
        <f>B12/(B23*1000)</f>
        <v>4.130173764243768</v>
      </c>
    </row>
    <row r="25" spans="1:2" ht="12.75">
      <c r="A25" t="s">
        <v>23</v>
      </c>
      <c r="B25" s="7">
        <f>Expenses!G2</f>
        <v>871.5</v>
      </c>
    </row>
    <row r="26" spans="1:2" ht="12.75">
      <c r="A26" t="s">
        <v>24</v>
      </c>
      <c r="B26" s="5">
        <f>B12/B25</f>
        <v>609.289489386116</v>
      </c>
    </row>
    <row r="28" ht="12.75">
      <c r="A28" s="3" t="s">
        <v>25</v>
      </c>
    </row>
    <row r="29" spans="1:3" ht="12.75">
      <c r="A29" t="s">
        <v>21</v>
      </c>
      <c r="B29" s="5">
        <f>SUM('Food Remaining'!E5:E119)/1000</f>
        <v>30.337</v>
      </c>
      <c r="C29" s="5">
        <f>B29*2.2</f>
        <v>66.7414</v>
      </c>
    </row>
    <row r="30" spans="1:2" ht="12.75">
      <c r="A30" t="s">
        <v>26</v>
      </c>
      <c r="B30" s="2">
        <f>SUM('Food Remaining'!F5:F118)</f>
        <v>137194.6</v>
      </c>
    </row>
    <row r="31" spans="1:2" ht="12.75">
      <c r="A31" t="s">
        <v>27</v>
      </c>
      <c r="B31" s="4">
        <f>B30/B12</f>
        <v>0.25837229330951944</v>
      </c>
    </row>
    <row r="32" ht="12.75">
      <c r="B32" s="4"/>
    </row>
    <row r="33" ht="12.75">
      <c r="A33" t="s">
        <v>12</v>
      </c>
    </row>
    <row r="34" spans="2:4" ht="12.75">
      <c r="B34" t="s">
        <v>13</v>
      </c>
      <c r="C34" t="s">
        <v>14</v>
      </c>
      <c r="D34" t="s">
        <v>15</v>
      </c>
    </row>
    <row r="35" spans="1:4" ht="12.75">
      <c r="A35" t="s">
        <v>16</v>
      </c>
      <c r="B35" s="5">
        <f>SUM('Food Remaining'!H25:H230)</f>
        <v>12273.900000000001</v>
      </c>
      <c r="C35" s="5">
        <f>B35*4</f>
        <v>49095.600000000006</v>
      </c>
      <c r="D35" s="6">
        <f>C35/C38</f>
        <v>0.45864363838826966</v>
      </c>
    </row>
    <row r="36" spans="1:4" ht="12.75">
      <c r="A36" t="s">
        <v>17</v>
      </c>
      <c r="B36" s="5">
        <f>SUM('Food Remaining'!G25:G246)</f>
        <v>3960.1</v>
      </c>
      <c r="C36" s="5">
        <f>B36*4</f>
        <v>15840.4</v>
      </c>
      <c r="D36" s="6">
        <f>C36/C38</f>
        <v>0.14797861090455244</v>
      </c>
    </row>
    <row r="37" spans="1:4" ht="12.75">
      <c r="A37" t="s">
        <v>18</v>
      </c>
      <c r="B37" s="5">
        <f>SUM('Food Remaining'!I25:I253)</f>
        <v>4678.8</v>
      </c>
      <c r="C37" s="5">
        <f>B37*9</f>
        <v>42109.200000000004</v>
      </c>
      <c r="D37" s="6">
        <f>C37/C38</f>
        <v>0.3933777507071779</v>
      </c>
    </row>
    <row r="38" spans="2:3" ht="12.75">
      <c r="B38" t="s">
        <v>19</v>
      </c>
      <c r="C38" s="5">
        <f>SUM(C35:C37)</f>
        <v>107045.20000000001</v>
      </c>
    </row>
    <row r="40" ht="12.75">
      <c r="A40" s="3" t="s">
        <v>28</v>
      </c>
    </row>
    <row r="41" spans="1:3" ht="12.75">
      <c r="A41" t="s">
        <v>21</v>
      </c>
      <c r="B41" s="5">
        <f>B23-B29</f>
        <v>98.228</v>
      </c>
      <c r="C41" s="5">
        <f>C23-C29</f>
        <v>216.10160000000002</v>
      </c>
    </row>
    <row r="42" spans="1:2" ht="12.75">
      <c r="A42" t="s">
        <v>26</v>
      </c>
      <c r="B42" s="2">
        <f>C20-C38</f>
        <v>428131.8560000001</v>
      </c>
    </row>
    <row r="43" spans="1:2" ht="12.75">
      <c r="A43" t="s">
        <v>29</v>
      </c>
      <c r="B43">
        <v>38</v>
      </c>
    </row>
    <row r="44" spans="1:2" ht="12.75">
      <c r="A44" s="8" t="s">
        <v>30</v>
      </c>
      <c r="B44" s="9">
        <f>B42/B43</f>
        <v>11266.627789473687</v>
      </c>
    </row>
    <row r="45" spans="1:2" ht="12.75">
      <c r="A45" s="8" t="s">
        <v>31</v>
      </c>
      <c r="B45" s="9">
        <f>C6+C7</f>
        <v>11000</v>
      </c>
    </row>
    <row r="47" ht="12.75">
      <c r="A47" s="3" t="s">
        <v>32</v>
      </c>
    </row>
    <row r="48" spans="2:3" ht="12.75">
      <c r="B48" t="s">
        <v>33</v>
      </c>
      <c r="C48" t="s">
        <v>34</v>
      </c>
    </row>
    <row r="49" spans="1:3" ht="12.75">
      <c r="A49" t="s">
        <v>6</v>
      </c>
      <c r="B49" s="5">
        <f>174.8/2.2</f>
        <v>79.45454545454545</v>
      </c>
      <c r="C49">
        <v>81.2</v>
      </c>
    </row>
    <row r="50" spans="1:3" ht="12.75">
      <c r="A50" t="s">
        <v>7</v>
      </c>
      <c r="B50" s="5">
        <f>151/2.2</f>
        <v>68.63636363636363</v>
      </c>
      <c r="C50">
        <v>68.5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="80" zoomScaleNormal="80" workbookViewId="0" topLeftCell="A1">
      <pane ySplit="2" topLeftCell="A105" activePane="bottomLeft" state="frozen"/>
      <selection pane="topLeft" activeCell="A1" sqref="A1"/>
      <selection pane="bottomLeft" activeCell="E121" sqref="E121"/>
    </sheetView>
  </sheetViews>
  <sheetFormatPr defaultColWidth="12.57421875" defaultRowHeight="12.75"/>
  <cols>
    <col min="1" max="1" width="31.00390625" style="10" customWidth="1"/>
    <col min="2" max="2" width="17.00390625" style="10" customWidth="1"/>
    <col min="3" max="5" width="16.00390625" style="10" customWidth="1"/>
    <col min="6" max="6" width="13.140625" style="10" customWidth="1"/>
    <col min="7" max="9" width="11.57421875" style="10" customWidth="1"/>
    <col min="10" max="10" width="15.8515625" style="10" customWidth="1"/>
    <col min="11" max="16384" width="11.57421875" style="10" customWidth="1"/>
  </cols>
  <sheetData>
    <row r="1" spans="1:10" ht="12.75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26</v>
      </c>
      <c r="G1" s="11" t="s">
        <v>17</v>
      </c>
      <c r="H1" s="11" t="s">
        <v>16</v>
      </c>
      <c r="I1" s="11" t="s">
        <v>18</v>
      </c>
      <c r="J1" s="11" t="s">
        <v>40</v>
      </c>
    </row>
    <row r="2" spans="1:10" ht="12.75">
      <c r="A2" s="12" t="s">
        <v>41</v>
      </c>
      <c r="B2" s="13" t="s">
        <v>42</v>
      </c>
      <c r="C2" s="14" t="s">
        <v>43</v>
      </c>
      <c r="D2" s="15" t="s">
        <v>44</v>
      </c>
      <c r="E2" s="11"/>
      <c r="F2" s="11"/>
      <c r="G2" s="11"/>
      <c r="H2" s="11"/>
      <c r="I2" s="11"/>
      <c r="J2" s="11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 t="s">
        <v>45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8" t="s">
        <v>46</v>
      </c>
      <c r="B5" s="16">
        <v>1</v>
      </c>
      <c r="C5" s="16" t="s">
        <v>47</v>
      </c>
      <c r="D5" s="16">
        <v>1000</v>
      </c>
      <c r="E5" s="16">
        <f>D5*B5</f>
        <v>1000</v>
      </c>
      <c r="F5" s="16">
        <f>4000*B5</f>
        <v>4000</v>
      </c>
      <c r="G5" s="16">
        <f>200*B5</f>
        <v>200</v>
      </c>
      <c r="H5" s="16">
        <f>400*B5</f>
        <v>400</v>
      </c>
      <c r="I5" s="16">
        <f>100*B5</f>
        <v>100</v>
      </c>
      <c r="J5" s="16">
        <f>F5/E5</f>
        <v>4</v>
      </c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8" t="s">
        <v>48</v>
      </c>
      <c r="B7" s="16"/>
      <c r="C7" s="16"/>
      <c r="D7" s="16"/>
      <c r="E7" s="16">
        <f>D7*B7</f>
        <v>0</v>
      </c>
      <c r="F7" s="16"/>
      <c r="G7" s="16"/>
      <c r="H7" s="16"/>
      <c r="I7" s="16"/>
      <c r="J7" s="16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19" t="s">
        <v>49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2.75">
      <c r="A10" s="18" t="s">
        <v>50</v>
      </c>
      <c r="B10" s="16">
        <v>1.3</v>
      </c>
      <c r="C10" s="16" t="s">
        <v>47</v>
      </c>
      <c r="D10" s="16">
        <v>1000</v>
      </c>
      <c r="E10" s="16">
        <f>D10*B10</f>
        <v>1300</v>
      </c>
      <c r="F10" s="16">
        <f>3500*B10</f>
        <v>4550</v>
      </c>
      <c r="G10" s="16">
        <v>0</v>
      </c>
      <c r="H10" s="16">
        <f>850*B10</f>
        <v>1105</v>
      </c>
      <c r="I10" s="16">
        <v>0</v>
      </c>
      <c r="J10" s="16">
        <f>F10/E10</f>
        <v>3.5</v>
      </c>
    </row>
    <row r="11" spans="1:10" ht="12.75">
      <c r="A11" s="18" t="s">
        <v>51</v>
      </c>
      <c r="B11" s="16">
        <v>0</v>
      </c>
      <c r="C11" s="16" t="s">
        <v>47</v>
      </c>
      <c r="D11" s="16">
        <v>1000</v>
      </c>
      <c r="E11" s="16">
        <f>D11*B11</f>
        <v>0</v>
      </c>
      <c r="F11" s="16">
        <f>3500*B11</f>
        <v>0</v>
      </c>
      <c r="G11" s="16">
        <v>0</v>
      </c>
      <c r="H11" s="16">
        <f>850*B11</f>
        <v>0</v>
      </c>
      <c r="I11" s="16">
        <v>0</v>
      </c>
      <c r="J11" s="16" t="e">
        <f>F11/E11</f>
        <v>#DIV/0!</v>
      </c>
    </row>
    <row r="12" spans="1:10" ht="12.75">
      <c r="A12" s="18" t="s">
        <v>52</v>
      </c>
      <c r="B12" s="16">
        <v>1.5</v>
      </c>
      <c r="C12" s="16" t="s">
        <v>53</v>
      </c>
      <c r="D12" s="16">
        <v>1000</v>
      </c>
      <c r="E12" s="16">
        <f>D12*B12</f>
        <v>1500</v>
      </c>
      <c r="F12" s="16">
        <f>3600*B12</f>
        <v>5400</v>
      </c>
      <c r="G12" s="16">
        <f>360*B12</f>
        <v>540</v>
      </c>
      <c r="H12" s="16">
        <f>520*B12</f>
        <v>780</v>
      </c>
      <c r="I12" s="16">
        <v>0</v>
      </c>
      <c r="J12" s="16">
        <f>F12/E12</f>
        <v>3.6</v>
      </c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20" t="s">
        <v>54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9" t="s">
        <v>55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8" t="s">
        <v>56</v>
      </c>
      <c r="B17" s="16">
        <v>13</v>
      </c>
      <c r="C17" s="16" t="s">
        <v>57</v>
      </c>
      <c r="D17" s="16">
        <v>500</v>
      </c>
      <c r="E17" s="16">
        <f>D17*B17</f>
        <v>6500</v>
      </c>
      <c r="F17" s="16">
        <f>2000*B17</f>
        <v>26000</v>
      </c>
      <c r="G17" s="16">
        <f>116.7*B17</f>
        <v>1517.1000000000001</v>
      </c>
      <c r="H17" s="16">
        <f>16.7*B17</f>
        <v>217.1</v>
      </c>
      <c r="I17" s="16">
        <f>183*B17</f>
        <v>2379</v>
      </c>
      <c r="J17" s="16">
        <f>F17/E17</f>
        <v>4</v>
      </c>
    </row>
    <row r="18" spans="1:10" ht="12.75">
      <c r="A18" s="18" t="s">
        <v>58</v>
      </c>
      <c r="B18" s="16">
        <v>0.5</v>
      </c>
      <c r="C18" s="16" t="s">
        <v>59</v>
      </c>
      <c r="D18" s="16">
        <v>1000</v>
      </c>
      <c r="E18" s="16">
        <f>D18*B18</f>
        <v>500</v>
      </c>
      <c r="F18" s="16">
        <f>4166*B18</f>
        <v>2083</v>
      </c>
      <c r="G18" s="16">
        <f>333*B18</f>
        <v>166.5</v>
      </c>
      <c r="H18" s="16">
        <v>0</v>
      </c>
      <c r="I18" s="16">
        <f>333*B18</f>
        <v>166.5</v>
      </c>
      <c r="J18" s="16">
        <f>F18/E18</f>
        <v>4.166</v>
      </c>
    </row>
    <row r="19" spans="1:10" ht="12.75">
      <c r="A19" s="18" t="s">
        <v>60</v>
      </c>
      <c r="B19" s="16">
        <v>4</v>
      </c>
      <c r="C19" s="16" t="s">
        <v>61</v>
      </c>
      <c r="D19" s="16">
        <v>454</v>
      </c>
      <c r="E19" s="16">
        <f>D19*B19</f>
        <v>1816</v>
      </c>
      <c r="F19" s="16">
        <f>3178*B19</f>
        <v>12712</v>
      </c>
      <c r="G19" s="16">
        <v>0</v>
      </c>
      <c r="H19" s="16">
        <v>0</v>
      </c>
      <c r="I19" s="16">
        <f>363*B19</f>
        <v>1452</v>
      </c>
      <c r="J19" s="16">
        <f>F19/E19</f>
        <v>7</v>
      </c>
    </row>
    <row r="20" spans="1:10" ht="12.75">
      <c r="A20" s="18" t="s">
        <v>62</v>
      </c>
      <c r="B20" s="16">
        <v>3</v>
      </c>
      <c r="C20" s="16" t="s">
        <v>63</v>
      </c>
      <c r="D20" s="16">
        <v>872</v>
      </c>
      <c r="E20" s="16">
        <f>D20*B20</f>
        <v>2616</v>
      </c>
      <c r="F20" s="16">
        <f>7708*B20</f>
        <v>23124</v>
      </c>
      <c r="G20" s="16">
        <v>0</v>
      </c>
      <c r="H20" s="16">
        <v>0</v>
      </c>
      <c r="I20" s="16">
        <f>872*B20</f>
        <v>2616</v>
      </c>
      <c r="J20" s="16">
        <f>F20/E20</f>
        <v>8.839449541284404</v>
      </c>
    </row>
    <row r="21" spans="1:10" ht="12.75">
      <c r="A21" s="16"/>
      <c r="B21" s="16"/>
      <c r="C21" s="16"/>
      <c r="D21" s="16"/>
      <c r="E21" s="16">
        <f>D21*B21</f>
        <v>0</v>
      </c>
      <c r="F21" s="16"/>
      <c r="G21" s="16"/>
      <c r="H21" s="16"/>
      <c r="I21" s="16"/>
      <c r="J21" s="16"/>
    </row>
    <row r="22" spans="1:10" ht="12.75">
      <c r="A22" s="19" t="s">
        <v>64</v>
      </c>
      <c r="B22" s="16"/>
      <c r="C22" s="16"/>
      <c r="D22" s="16"/>
      <c r="E22" s="16">
        <f>D22*B22</f>
        <v>0</v>
      </c>
      <c r="F22" s="16"/>
      <c r="G22" s="16"/>
      <c r="H22" s="16"/>
      <c r="I22" s="16"/>
      <c r="J22" s="16"/>
    </row>
    <row r="23" spans="1:10" ht="12.75">
      <c r="A23" s="21" t="s">
        <v>65</v>
      </c>
      <c r="B23" s="16">
        <v>4.3</v>
      </c>
      <c r="C23" s="16" t="s">
        <v>47</v>
      </c>
      <c r="D23" s="16">
        <v>1000</v>
      </c>
      <c r="E23" s="16">
        <f>D23*B23</f>
        <v>4300</v>
      </c>
      <c r="F23" s="16">
        <f>2118*B23</f>
        <v>9107.4</v>
      </c>
      <c r="G23" s="16">
        <f>196*B23</f>
        <v>842.8</v>
      </c>
      <c r="H23" s="16">
        <v>0</v>
      </c>
      <c r="I23" s="16">
        <f>149*B23</f>
        <v>640.6999999999999</v>
      </c>
      <c r="J23" s="16">
        <f>F23/E23</f>
        <v>2.118</v>
      </c>
    </row>
    <row r="24" spans="1:10" ht="12.75">
      <c r="A24" s="18" t="s">
        <v>66</v>
      </c>
      <c r="B24" s="16">
        <v>4</v>
      </c>
      <c r="C24" s="16" t="s">
        <v>67</v>
      </c>
      <c r="D24" s="16">
        <v>1000</v>
      </c>
      <c r="E24" s="16">
        <f>D24*B24</f>
        <v>4000</v>
      </c>
      <c r="F24" s="16">
        <f>3927*B24</f>
        <v>15708</v>
      </c>
      <c r="G24" s="16">
        <f>214.2*B24</f>
        <v>856.8</v>
      </c>
      <c r="H24" s="16">
        <f>35.7*B24</f>
        <v>142.8</v>
      </c>
      <c r="I24" s="16">
        <f>321.3*B24</f>
        <v>1285.2</v>
      </c>
      <c r="J24" s="16">
        <f>F24/E24</f>
        <v>3.927</v>
      </c>
    </row>
    <row r="25" spans="1:10" ht="12.75">
      <c r="A25" s="18" t="s">
        <v>68</v>
      </c>
      <c r="B25" s="16">
        <v>0.4</v>
      </c>
      <c r="C25" s="16" t="s">
        <v>69</v>
      </c>
      <c r="D25" s="16">
        <v>1000</v>
      </c>
      <c r="E25" s="16">
        <f>D25*B25</f>
        <v>400</v>
      </c>
      <c r="F25" s="16">
        <f>2118*B25</f>
        <v>847.2</v>
      </c>
      <c r="G25" s="16">
        <f>196*B25</f>
        <v>78.4</v>
      </c>
      <c r="H25" s="16">
        <v>0</v>
      </c>
      <c r="I25" s="16">
        <f>149*B25</f>
        <v>59.6</v>
      </c>
      <c r="J25" s="16">
        <f>F25/E25</f>
        <v>2.1180000000000003</v>
      </c>
    </row>
    <row r="26" spans="1:10" ht="12.75">
      <c r="A26" s="22" t="s">
        <v>70</v>
      </c>
      <c r="B26" s="16">
        <v>0</v>
      </c>
      <c r="C26" s="16"/>
      <c r="D26" s="16">
        <v>0</v>
      </c>
      <c r="E26" s="16">
        <f>D26*B26</f>
        <v>0</v>
      </c>
      <c r="F26" s="16"/>
      <c r="G26" s="16"/>
      <c r="H26" s="16"/>
      <c r="I26" s="16"/>
      <c r="J26" s="16" t="e">
        <f>F26/E26</f>
        <v>#DIV/0!</v>
      </c>
    </row>
    <row r="27" spans="1:10" ht="12.75">
      <c r="A27" s="18" t="s">
        <v>71</v>
      </c>
      <c r="B27" s="16">
        <v>3</v>
      </c>
      <c r="C27" s="16" t="s">
        <v>69</v>
      </c>
      <c r="D27" s="16">
        <v>1000</v>
      </c>
      <c r="E27" s="16">
        <f>D27*B27</f>
        <v>3000</v>
      </c>
      <c r="F27" s="16">
        <f>3110*B27</f>
        <v>9330</v>
      </c>
      <c r="G27" s="16">
        <f>250*B27</f>
        <v>750</v>
      </c>
      <c r="H27" s="16">
        <f>50*B27</f>
        <v>150</v>
      </c>
      <c r="I27" s="16">
        <f>220*B27</f>
        <v>660</v>
      </c>
      <c r="J27" s="16">
        <f>F27/E27</f>
        <v>3.11</v>
      </c>
    </row>
    <row r="28" spans="1:10" ht="12.75">
      <c r="A28" s="18" t="s">
        <v>72</v>
      </c>
      <c r="B28" s="16">
        <v>1.67</v>
      </c>
      <c r="C28" s="16" t="s">
        <v>73</v>
      </c>
      <c r="D28" s="16">
        <v>1800</v>
      </c>
      <c r="E28" s="16">
        <f>D28*B28</f>
        <v>3006</v>
      </c>
      <c r="F28" s="16">
        <f>7457*B28</f>
        <v>12453.189999999999</v>
      </c>
      <c r="G28" s="16">
        <f>257*B28</f>
        <v>429.19</v>
      </c>
      <c r="H28" s="16">
        <f>25.7*B28</f>
        <v>42.919</v>
      </c>
      <c r="I28" s="16">
        <f>694*B28</f>
        <v>1158.98</v>
      </c>
      <c r="J28" s="16">
        <f>F28/E28</f>
        <v>4.142777777777777</v>
      </c>
    </row>
    <row r="29" spans="1:10" ht="12.75">
      <c r="A29" s="18" t="s">
        <v>74</v>
      </c>
      <c r="B29" s="16">
        <v>2</v>
      </c>
      <c r="C29" s="16" t="s">
        <v>69</v>
      </c>
      <c r="D29" s="16">
        <v>1000</v>
      </c>
      <c r="E29" s="16">
        <f>D29*B29</f>
        <v>2000</v>
      </c>
      <c r="F29" s="16">
        <f>1587*B29</f>
        <v>3174</v>
      </c>
      <c r="G29" s="16">
        <f>238*B29</f>
        <v>476</v>
      </c>
      <c r="H29" s="16">
        <f>47.6*B29</f>
        <v>95.2</v>
      </c>
      <c r="I29" s="16">
        <f>47.6*B29</f>
        <v>95.2</v>
      </c>
      <c r="J29" s="16">
        <f>F29/E29</f>
        <v>1.587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9" t="s">
        <v>75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8" t="s">
        <v>76</v>
      </c>
      <c r="B32" s="16">
        <v>6</v>
      </c>
      <c r="C32" s="16" t="s">
        <v>77</v>
      </c>
      <c r="D32" s="16">
        <v>1000</v>
      </c>
      <c r="E32" s="16">
        <f>D32*B32</f>
        <v>6000</v>
      </c>
      <c r="F32" s="16">
        <f>6667*B32</f>
        <v>40002</v>
      </c>
      <c r="G32" s="16">
        <f>200*B32</f>
        <v>1200</v>
      </c>
      <c r="H32" s="16">
        <f>200*B32</f>
        <v>1200</v>
      </c>
      <c r="I32" s="16">
        <f>533*B32</f>
        <v>3198</v>
      </c>
      <c r="J32" s="16">
        <f>F32/E32</f>
        <v>6.667</v>
      </c>
    </row>
    <row r="33" spans="1:10" ht="12.75">
      <c r="A33" s="18" t="s">
        <v>78</v>
      </c>
      <c r="B33" s="16">
        <v>2</v>
      </c>
      <c r="C33" s="16" t="s">
        <v>79</v>
      </c>
      <c r="D33" s="16">
        <v>1000</v>
      </c>
      <c r="E33" s="16">
        <f>D33*B33</f>
        <v>2000</v>
      </c>
      <c r="F33" s="16">
        <f>3000*B33</f>
        <v>6000</v>
      </c>
      <c r="G33" s="16">
        <v>0</v>
      </c>
      <c r="H33" s="16">
        <f>850*B33</f>
        <v>1700</v>
      </c>
      <c r="I33" s="16">
        <v>0</v>
      </c>
      <c r="J33" s="16">
        <f>F33/E33</f>
        <v>3</v>
      </c>
    </row>
    <row r="34" spans="1:10" ht="12.75">
      <c r="A34" s="18" t="s">
        <v>80</v>
      </c>
      <c r="B34" s="16">
        <v>1</v>
      </c>
      <c r="C34" s="16" t="s">
        <v>81</v>
      </c>
      <c r="D34" s="16">
        <v>1500</v>
      </c>
      <c r="E34" s="16">
        <f>D34*B34</f>
        <v>1500</v>
      </c>
      <c r="F34" s="16">
        <f>7900*B34</f>
        <v>7900</v>
      </c>
      <c r="G34" s="16">
        <f>79*B34</f>
        <v>79</v>
      </c>
      <c r="H34" s="16">
        <f>869*B34</f>
        <v>869</v>
      </c>
      <c r="I34" s="16">
        <f>474*B34</f>
        <v>474</v>
      </c>
      <c r="J34" s="16">
        <f>F34/E34</f>
        <v>5.266666666666667</v>
      </c>
    </row>
    <row r="35" spans="1:10" ht="12.75">
      <c r="A35" s="18" t="s">
        <v>82</v>
      </c>
      <c r="B35" s="16">
        <v>1</v>
      </c>
      <c r="C35" s="16" t="s">
        <v>79</v>
      </c>
      <c r="D35" s="16">
        <v>1000</v>
      </c>
      <c r="E35" s="16">
        <f>D35*B35</f>
        <v>1000</v>
      </c>
      <c r="F35" s="16">
        <f>1667*B35</f>
        <v>1667</v>
      </c>
      <c r="G35" s="16">
        <v>0</v>
      </c>
      <c r="H35" s="16">
        <f>400*B35</f>
        <v>400</v>
      </c>
      <c r="I35" s="16">
        <v>0</v>
      </c>
      <c r="J35" s="16">
        <f>F35/E35</f>
        <v>1.667</v>
      </c>
    </row>
    <row r="36" spans="1:10" ht="12.75">
      <c r="A36" s="18" t="s">
        <v>83</v>
      </c>
      <c r="B36" s="16">
        <v>1</v>
      </c>
      <c r="C36" s="16" t="s">
        <v>47</v>
      </c>
      <c r="D36" s="16">
        <v>1050</v>
      </c>
      <c r="E36" s="16">
        <f>D36*B36</f>
        <v>1050</v>
      </c>
      <c r="F36" s="16">
        <f>3420*B36</f>
        <v>3420</v>
      </c>
      <c r="G36" s="16">
        <f>60*B36</f>
        <v>60</v>
      </c>
      <c r="H36" s="16">
        <f>40*B36</f>
        <v>40</v>
      </c>
      <c r="I36" s="16">
        <f>342*B36</f>
        <v>342</v>
      </c>
      <c r="J36" s="16">
        <f>F36/E36</f>
        <v>3.257142857142857</v>
      </c>
    </row>
    <row r="37" spans="1:10" ht="12.75">
      <c r="A37" s="18" t="s">
        <v>84</v>
      </c>
      <c r="B37" s="16">
        <v>1</v>
      </c>
      <c r="C37" s="16" t="s">
        <v>85</v>
      </c>
      <c r="D37" s="16">
        <v>1238</v>
      </c>
      <c r="E37" s="16">
        <f>D37*B37</f>
        <v>1238</v>
      </c>
      <c r="F37" s="16">
        <f>3362*B37</f>
        <v>3362</v>
      </c>
      <c r="G37" s="16">
        <v>0</v>
      </c>
      <c r="H37" s="16">
        <f>864*B37</f>
        <v>864</v>
      </c>
      <c r="I37" s="16">
        <f>2.5*B37</f>
        <v>2.5</v>
      </c>
      <c r="J37" s="16">
        <f>F37/E37</f>
        <v>2.715670436187399</v>
      </c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7" t="s">
        <v>86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9" t="s">
        <v>87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8" t="s">
        <v>88</v>
      </c>
      <c r="B42" s="16">
        <v>25</v>
      </c>
      <c r="C42" s="16" t="s">
        <v>89</v>
      </c>
      <c r="D42" s="16">
        <v>100</v>
      </c>
      <c r="E42" s="16">
        <f>D42*B42</f>
        <v>2500</v>
      </c>
      <c r="F42" s="16">
        <f>362*B42</f>
        <v>9050</v>
      </c>
      <c r="G42" s="16">
        <f>7.5*B42</f>
        <v>187.5</v>
      </c>
      <c r="H42" s="16">
        <f>76*B42</f>
        <v>1900</v>
      </c>
      <c r="I42" s="16">
        <f>2.7*B42</f>
        <v>67.5</v>
      </c>
      <c r="J42" s="16">
        <f>F42/E42</f>
        <v>3.62</v>
      </c>
    </row>
    <row r="43" spans="1:10" ht="12.75">
      <c r="A43" s="18" t="s">
        <v>90</v>
      </c>
      <c r="B43" s="16">
        <v>0</v>
      </c>
      <c r="C43" s="16" t="s">
        <v>89</v>
      </c>
      <c r="D43" s="16">
        <v>100</v>
      </c>
      <c r="E43" s="16">
        <f>D43*B43</f>
        <v>0</v>
      </c>
      <c r="F43" s="16">
        <f>362*B43</f>
        <v>0</v>
      </c>
      <c r="G43" s="16">
        <f>7.5*B43</f>
        <v>0</v>
      </c>
      <c r="H43" s="16">
        <f>76*B43</f>
        <v>0</v>
      </c>
      <c r="I43" s="16">
        <f>2.7*B43</f>
        <v>0</v>
      </c>
      <c r="J43" s="16" t="e">
        <f>F43/E43</f>
        <v>#DIV/0!</v>
      </c>
    </row>
    <row r="44" spans="1:10" ht="12.75">
      <c r="A44" s="18" t="s">
        <v>91</v>
      </c>
      <c r="B44" s="16">
        <v>14</v>
      </c>
      <c r="C44" s="16" t="s">
        <v>89</v>
      </c>
      <c r="D44" s="16">
        <v>90</v>
      </c>
      <c r="E44" s="16">
        <f>D44*B44</f>
        <v>1260</v>
      </c>
      <c r="F44" s="16">
        <f>320*B44</f>
        <v>4480</v>
      </c>
      <c r="G44" s="16">
        <f>10*B44</f>
        <v>140</v>
      </c>
      <c r="H44" s="16">
        <f>70*B44</f>
        <v>980</v>
      </c>
      <c r="I44" s="16">
        <f>1*B44</f>
        <v>14</v>
      </c>
      <c r="J44" s="16">
        <f>F44/E44</f>
        <v>3.5555555555555554</v>
      </c>
    </row>
    <row r="45" spans="1:10" ht="12.75">
      <c r="A45" s="18" t="s">
        <v>92</v>
      </c>
      <c r="B45" s="16">
        <v>2.25</v>
      </c>
      <c r="C45" s="16" t="s">
        <v>47</v>
      </c>
      <c r="D45" s="16">
        <v>1000</v>
      </c>
      <c r="E45" s="16">
        <f>D45*B45</f>
        <v>2250</v>
      </c>
      <c r="F45" s="16">
        <f>3480*B45</f>
        <v>7830</v>
      </c>
      <c r="G45" s="16">
        <f>146*B45</f>
        <v>328.5</v>
      </c>
      <c r="H45" s="16">
        <f>750*B45</f>
        <v>1687.5</v>
      </c>
      <c r="I45" s="16">
        <f>14*B45</f>
        <v>31.5</v>
      </c>
      <c r="J45" s="16">
        <f>F45/E45</f>
        <v>3.48</v>
      </c>
    </row>
    <row r="46" spans="1:10" ht="12.75">
      <c r="A46" s="18" t="s">
        <v>93</v>
      </c>
      <c r="B46" s="16">
        <v>5</v>
      </c>
      <c r="C46" s="16" t="s">
        <v>94</v>
      </c>
      <c r="D46" s="16">
        <v>225</v>
      </c>
      <c r="E46" s="16">
        <f>D46*B46</f>
        <v>1125</v>
      </c>
      <c r="F46" s="16">
        <f>840*B46</f>
        <v>4200</v>
      </c>
      <c r="G46" s="16">
        <f>28*B46</f>
        <v>140</v>
      </c>
      <c r="H46" s="16">
        <f>160*B46</f>
        <v>800</v>
      </c>
      <c r="I46" s="16">
        <f>8*B46</f>
        <v>40</v>
      </c>
      <c r="J46" s="16">
        <f>F46/E46</f>
        <v>3.7333333333333334</v>
      </c>
    </row>
    <row r="47" spans="1:10" ht="12.75">
      <c r="A47" s="18" t="s">
        <v>95</v>
      </c>
      <c r="B47" s="16">
        <v>0</v>
      </c>
      <c r="C47" s="16" t="s">
        <v>47</v>
      </c>
      <c r="D47" s="16">
        <v>1000</v>
      </c>
      <c r="E47" s="16">
        <f>D47*B47</f>
        <v>0</v>
      </c>
      <c r="F47" s="16">
        <f>3480*B47</f>
        <v>0</v>
      </c>
      <c r="G47" s="16">
        <f>146*B47</f>
        <v>0</v>
      </c>
      <c r="H47" s="16">
        <f>750*B47</f>
        <v>0</v>
      </c>
      <c r="I47" s="16">
        <f>14*B47</f>
        <v>0</v>
      </c>
      <c r="J47" s="16" t="e">
        <f>F47/E47</f>
        <v>#DIV/0!</v>
      </c>
    </row>
    <row r="48" spans="1:10" ht="12.75">
      <c r="A48" s="18" t="s">
        <v>96</v>
      </c>
      <c r="B48" s="16">
        <v>5</v>
      </c>
      <c r="C48" s="16" t="s">
        <v>47</v>
      </c>
      <c r="D48" s="16">
        <v>1000</v>
      </c>
      <c r="E48" s="16">
        <f>D48*B48</f>
        <v>5000</v>
      </c>
      <c r="F48" s="16">
        <f>3667*B48</f>
        <v>18335</v>
      </c>
      <c r="G48" s="16">
        <f>166.6*B48</f>
        <v>833</v>
      </c>
      <c r="H48" s="16">
        <f>700*B48</f>
        <v>3500</v>
      </c>
      <c r="I48" s="16">
        <f>16.7*B48</f>
        <v>83.5</v>
      </c>
      <c r="J48" s="16">
        <f>F48/E48</f>
        <v>3.667</v>
      </c>
    </row>
    <row r="49" spans="1:10" ht="12.75">
      <c r="A49" s="18" t="s">
        <v>97</v>
      </c>
      <c r="B49" s="16">
        <v>0</v>
      </c>
      <c r="C49" s="16"/>
      <c r="D49" s="16"/>
      <c r="E49" s="16">
        <f>D49*B49</f>
        <v>0</v>
      </c>
      <c r="F49" s="16"/>
      <c r="G49" s="16"/>
      <c r="H49" s="16"/>
      <c r="I49" s="16"/>
      <c r="J49" s="16" t="e">
        <f>F49/E49</f>
        <v>#DIV/0!</v>
      </c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9" t="s">
        <v>98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8" t="s">
        <v>99</v>
      </c>
      <c r="B52" s="16">
        <v>32</v>
      </c>
      <c r="C52" s="16" t="s">
        <v>89</v>
      </c>
      <c r="D52" s="16">
        <v>100</v>
      </c>
      <c r="E52" s="16">
        <f>D52*B52</f>
        <v>3200</v>
      </c>
      <c r="F52" s="16">
        <f>353*B52</f>
        <v>11296</v>
      </c>
      <c r="G52" s="16">
        <f>25.8*B52</f>
        <v>825.6</v>
      </c>
      <c r="H52" s="16">
        <f>60*B52</f>
        <v>1920</v>
      </c>
      <c r="I52" s="16">
        <f>1*B52</f>
        <v>32</v>
      </c>
      <c r="J52" s="16">
        <f>F52/E52</f>
        <v>3.53</v>
      </c>
    </row>
    <row r="53" spans="1:10" ht="12.75">
      <c r="A53" s="18" t="s">
        <v>100</v>
      </c>
      <c r="B53" s="16">
        <v>38</v>
      </c>
      <c r="C53" s="16" t="s">
        <v>89</v>
      </c>
      <c r="D53" s="16">
        <v>100</v>
      </c>
      <c r="E53" s="16">
        <f>D53*B53</f>
        <v>3800</v>
      </c>
      <c r="F53" s="16">
        <f>360*B53</f>
        <v>13680</v>
      </c>
      <c r="G53" s="16">
        <f>30*B53</f>
        <v>1140</v>
      </c>
      <c r="H53" s="16">
        <f>28*B53</f>
        <v>1064</v>
      </c>
      <c r="I53" s="16">
        <f>1*B53</f>
        <v>38</v>
      </c>
      <c r="J53" s="16">
        <f>F53/E53</f>
        <v>3.6</v>
      </c>
    </row>
    <row r="54" spans="1:10" ht="12.75">
      <c r="A54" s="16"/>
      <c r="B54" s="16"/>
      <c r="C54" s="16"/>
      <c r="D54" s="16"/>
      <c r="E54" s="16">
        <f>D54*B54</f>
        <v>0</v>
      </c>
      <c r="F54" s="16"/>
      <c r="G54" s="16"/>
      <c r="H54" s="16"/>
      <c r="I54" s="16"/>
      <c r="J54" s="16"/>
    </row>
    <row r="55" spans="1:10" ht="12.75">
      <c r="A55" s="19" t="s">
        <v>101</v>
      </c>
      <c r="B55" s="16"/>
      <c r="C55" s="16"/>
      <c r="D55" s="16"/>
      <c r="E55" s="16">
        <f>D55*B55</f>
        <v>0</v>
      </c>
      <c r="F55" s="16"/>
      <c r="G55" s="16"/>
      <c r="H55" s="16"/>
      <c r="I55" s="16"/>
      <c r="J55" s="16"/>
    </row>
    <row r="56" spans="1:10" ht="12.75">
      <c r="A56" s="18" t="s">
        <v>102</v>
      </c>
      <c r="B56" s="16">
        <v>10</v>
      </c>
      <c r="C56" s="16" t="s">
        <v>89</v>
      </c>
      <c r="D56" s="16">
        <v>100</v>
      </c>
      <c r="E56" s="16">
        <f>D56*B56</f>
        <v>1000</v>
      </c>
      <c r="F56" s="16">
        <f>379*B56</f>
        <v>3790</v>
      </c>
      <c r="G56" s="16">
        <f>13.15*B56</f>
        <v>131.5</v>
      </c>
      <c r="H56" s="16">
        <f>67.7*B56</f>
        <v>677</v>
      </c>
      <c r="I56" s="16">
        <f>6.5*B56</f>
        <v>65</v>
      </c>
      <c r="J56" s="16">
        <f>F56/E56</f>
        <v>3.79</v>
      </c>
    </row>
    <row r="57" spans="1:10" ht="12.75">
      <c r="A57" s="18" t="s">
        <v>103</v>
      </c>
      <c r="B57" s="16">
        <v>10</v>
      </c>
      <c r="C57" s="16" t="s">
        <v>89</v>
      </c>
      <c r="D57" s="16">
        <v>90</v>
      </c>
      <c r="E57" s="16">
        <f>D57*B57</f>
        <v>900</v>
      </c>
      <c r="F57" s="16">
        <f>400*B57</f>
        <v>4000</v>
      </c>
      <c r="G57" s="16">
        <f>10*B57</f>
        <v>100</v>
      </c>
      <c r="H57" s="16">
        <f>64*B57</f>
        <v>640</v>
      </c>
      <c r="I57" s="16">
        <f>12*B57</f>
        <v>120</v>
      </c>
      <c r="J57" s="16">
        <f>F57/E57</f>
        <v>4.444444444444445</v>
      </c>
    </row>
    <row r="58" spans="1:10" ht="12.75">
      <c r="A58" s="16"/>
      <c r="B58" s="16"/>
      <c r="C58" s="16"/>
      <c r="D58" s="16"/>
      <c r="E58" s="16">
        <f>D58*B58</f>
        <v>0</v>
      </c>
      <c r="F58" s="16"/>
      <c r="G58" s="16"/>
      <c r="H58" s="16"/>
      <c r="I58" s="16"/>
      <c r="J58" s="16"/>
    </row>
    <row r="59" spans="1:10" ht="12.75">
      <c r="A59" s="23" t="s">
        <v>104</v>
      </c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8" t="s">
        <v>105</v>
      </c>
      <c r="B60" s="16">
        <v>144</v>
      </c>
      <c r="C60" s="16" t="s">
        <v>106</v>
      </c>
      <c r="D60" s="16">
        <v>75</v>
      </c>
      <c r="E60" s="16">
        <f>D60*B60</f>
        <v>10800</v>
      </c>
      <c r="F60" s="16">
        <f>190*B60</f>
        <v>27360</v>
      </c>
      <c r="G60" s="16">
        <f>7*B60</f>
        <v>1008</v>
      </c>
      <c r="H60" s="16">
        <f>36*B60</f>
        <v>5184</v>
      </c>
      <c r="I60" s="16">
        <f>2*B60</f>
        <v>288</v>
      </c>
      <c r="J60" s="16">
        <f>F60/E60</f>
        <v>2.533333333333333</v>
      </c>
    </row>
    <row r="61" spans="1:10" ht="12.75">
      <c r="A61" s="18" t="s">
        <v>107</v>
      </c>
      <c r="B61" s="16">
        <v>108</v>
      </c>
      <c r="C61" s="16" t="s">
        <v>108</v>
      </c>
      <c r="D61" s="16">
        <v>57</v>
      </c>
      <c r="E61" s="16">
        <f>D61*B61</f>
        <v>6156</v>
      </c>
      <c r="F61" s="16">
        <f>150*B61</f>
        <v>16200</v>
      </c>
      <c r="G61" s="16">
        <f>6*B61</f>
        <v>648</v>
      </c>
      <c r="H61" s="16">
        <f>28*B61</f>
        <v>3024</v>
      </c>
      <c r="I61" s="16">
        <f>2*B61</f>
        <v>216</v>
      </c>
      <c r="J61" s="16">
        <f>F61/E61</f>
        <v>2.6315789473684212</v>
      </c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9" t="s">
        <v>109</v>
      </c>
      <c r="B63" s="16"/>
      <c r="C63" s="16"/>
      <c r="D63" s="16"/>
      <c r="E63" s="16">
        <f>D63*B63</f>
        <v>0</v>
      </c>
      <c r="F63" s="16"/>
      <c r="G63" s="16"/>
      <c r="H63" s="16"/>
      <c r="I63" s="16"/>
      <c r="J63" s="16"/>
    </row>
    <row r="64" spans="1:10" ht="12.75">
      <c r="A64" s="18" t="s">
        <v>110</v>
      </c>
      <c r="B64" s="16">
        <v>18</v>
      </c>
      <c r="C64" s="16" t="s">
        <v>111</v>
      </c>
      <c r="D64" s="16">
        <v>22</v>
      </c>
      <c r="E64" s="16">
        <f>D64*B64</f>
        <v>396</v>
      </c>
      <c r="F64" s="16">
        <f>80*B64</f>
        <v>1440</v>
      </c>
      <c r="G64" s="16">
        <f>2*B64</f>
        <v>36</v>
      </c>
      <c r="H64" s="16">
        <f>18*B64</f>
        <v>324</v>
      </c>
      <c r="I64" s="16">
        <v>0</v>
      </c>
      <c r="J64" s="16">
        <f>F64/E64</f>
        <v>3.6363636363636362</v>
      </c>
    </row>
    <row r="65" spans="1:10" ht="12.75">
      <c r="A65" s="18" t="s">
        <v>112</v>
      </c>
      <c r="B65" s="16">
        <v>100</v>
      </c>
      <c r="C65" s="16" t="s">
        <v>113</v>
      </c>
      <c r="D65" s="16">
        <v>6</v>
      </c>
      <c r="E65" s="16">
        <f>D65*B65</f>
        <v>600</v>
      </c>
      <c r="F65" s="16">
        <f>35*B65</f>
        <v>3500</v>
      </c>
      <c r="G65" s="16">
        <f>3*B65</f>
        <v>300</v>
      </c>
      <c r="H65" s="16">
        <f>0.5*B65</f>
        <v>50</v>
      </c>
      <c r="I65" s="16">
        <f>2.5*B65</f>
        <v>250</v>
      </c>
      <c r="J65" s="16">
        <f>F65/E65</f>
        <v>5.833333333333333</v>
      </c>
    </row>
    <row r="66" spans="1:10" ht="12.75">
      <c r="A66" s="18" t="s">
        <v>114</v>
      </c>
      <c r="B66" s="16">
        <v>2</v>
      </c>
      <c r="C66" s="16" t="s">
        <v>47</v>
      </c>
      <c r="D66" s="16">
        <v>1000</v>
      </c>
      <c r="E66" s="16">
        <f>D66*B66</f>
        <v>2000</v>
      </c>
      <c r="F66" s="16">
        <f>3800*B66</f>
        <v>7600</v>
      </c>
      <c r="G66" s="16">
        <v>0</v>
      </c>
      <c r="H66" s="16">
        <f>980*B66</f>
        <v>1960</v>
      </c>
      <c r="I66" s="16">
        <v>0</v>
      </c>
      <c r="J66" s="16">
        <f>F66/E66</f>
        <v>3.8</v>
      </c>
    </row>
    <row r="67" spans="1:10" ht="12.75">
      <c r="A67" s="18" t="s">
        <v>115</v>
      </c>
      <c r="B67" s="16">
        <v>1</v>
      </c>
      <c r="C67" s="16" t="s">
        <v>116</v>
      </c>
      <c r="D67" s="16">
        <v>450</v>
      </c>
      <c r="E67" s="16">
        <f>D67*B67</f>
        <v>450</v>
      </c>
      <c r="F67" s="16">
        <f>900*B67</f>
        <v>900</v>
      </c>
      <c r="G67" s="16">
        <v>0</v>
      </c>
      <c r="H67" s="16">
        <f>180*B67</f>
        <v>180</v>
      </c>
      <c r="I67" s="16">
        <v>0</v>
      </c>
      <c r="J67" s="16">
        <f>F67/E67</f>
        <v>2</v>
      </c>
    </row>
    <row r="68" spans="1:10" ht="12.75">
      <c r="A68" s="18" t="s">
        <v>117</v>
      </c>
      <c r="B68" s="16">
        <v>5</v>
      </c>
      <c r="C68" s="16" t="s">
        <v>118</v>
      </c>
      <c r="D68" s="16">
        <v>170</v>
      </c>
      <c r="E68" s="16">
        <f>D68*B68</f>
        <v>850</v>
      </c>
      <c r="F68" s="16">
        <f>1190*B68</f>
        <v>5950</v>
      </c>
      <c r="G68" s="16">
        <f>13.6*B68</f>
        <v>68</v>
      </c>
      <c r="H68" s="16">
        <f>13.6*B68</f>
        <v>68</v>
      </c>
      <c r="I68" s="16">
        <f>115.6*B68</f>
        <v>578</v>
      </c>
      <c r="J68" s="16">
        <f>F68/E68</f>
        <v>7</v>
      </c>
    </row>
    <row r="69" spans="1:10" ht="12.75">
      <c r="A69" s="18" t="s">
        <v>119</v>
      </c>
      <c r="B69" s="16">
        <v>80</v>
      </c>
      <c r="C69" s="16" t="s">
        <v>120</v>
      </c>
      <c r="D69" s="16">
        <v>50</v>
      </c>
      <c r="E69" s="16">
        <f>D69*B69</f>
        <v>4000</v>
      </c>
      <c r="F69" s="16">
        <f>164*B69</f>
        <v>13120</v>
      </c>
      <c r="G69" s="16">
        <f>4.3*B69</f>
        <v>344</v>
      </c>
      <c r="H69" s="16">
        <f>37.2*B69</f>
        <v>2976</v>
      </c>
      <c r="I69" s="16">
        <f>0.2*B69</f>
        <v>16</v>
      </c>
      <c r="J69" s="16">
        <f>F69/E69</f>
        <v>3.28</v>
      </c>
    </row>
    <row r="70" spans="1:10" ht="12.75">
      <c r="A70" s="18" t="s">
        <v>121</v>
      </c>
      <c r="B70" s="16">
        <v>2</v>
      </c>
      <c r="C70" s="16" t="s">
        <v>122</v>
      </c>
      <c r="D70" s="16">
        <v>600</v>
      </c>
      <c r="E70" s="16">
        <f>D70*B70</f>
        <v>1200</v>
      </c>
      <c r="F70" s="16">
        <f>2200*B70</f>
        <v>4400</v>
      </c>
      <c r="G70" s="16">
        <f>500*B70</f>
        <v>1000</v>
      </c>
      <c r="H70" s="16">
        <v>0</v>
      </c>
      <c r="I70" s="16">
        <f>20*B70</f>
        <v>40</v>
      </c>
      <c r="J70" s="16">
        <f>F70/E70</f>
        <v>3.6666666666666665</v>
      </c>
    </row>
    <row r="71" spans="1:10" ht="12.75">
      <c r="A71" s="18" t="s">
        <v>123</v>
      </c>
      <c r="B71" s="16">
        <v>6</v>
      </c>
      <c r="C71" s="16" t="s">
        <v>124</v>
      </c>
      <c r="D71" s="16">
        <v>30</v>
      </c>
      <c r="E71" s="16">
        <f>D71*B71</f>
        <v>180</v>
      </c>
      <c r="F71" s="16">
        <f>128*B71</f>
        <v>768</v>
      </c>
      <c r="G71" s="16">
        <f>13*B71</f>
        <v>78</v>
      </c>
      <c r="H71" s="16">
        <f>8*B71</f>
        <v>48</v>
      </c>
      <c r="I71" s="16">
        <f>5*B71</f>
        <v>30</v>
      </c>
      <c r="J71" s="16">
        <f>F71/E71</f>
        <v>4.266666666666667</v>
      </c>
    </row>
    <row r="72" spans="1:10" ht="12.75">
      <c r="A72" s="18" t="s">
        <v>125</v>
      </c>
      <c r="B72" s="16">
        <v>6</v>
      </c>
      <c r="C72" s="16" t="s">
        <v>89</v>
      </c>
      <c r="D72" s="16">
        <v>100</v>
      </c>
      <c r="E72" s="16">
        <f>D72*B72</f>
        <v>600</v>
      </c>
      <c r="F72" s="16">
        <f>240*B72</f>
        <v>1440</v>
      </c>
      <c r="G72" s="16">
        <f>45*B72</f>
        <v>270</v>
      </c>
      <c r="H72" s="16">
        <f>27*B72</f>
        <v>162</v>
      </c>
      <c r="I72" s="16">
        <v>0</v>
      </c>
      <c r="J72" s="16">
        <f>F72/E72</f>
        <v>2.4</v>
      </c>
    </row>
    <row r="73" spans="1:10" ht="12.7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.75">
      <c r="A74" s="17" t="s">
        <v>126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 t="s">
        <v>127</v>
      </c>
      <c r="B75" s="16">
        <v>0</v>
      </c>
      <c r="C75" s="16"/>
      <c r="D75" s="16"/>
      <c r="E75" s="16">
        <f>D75*B75</f>
        <v>0</v>
      </c>
      <c r="F75" s="16"/>
      <c r="G75" s="16"/>
      <c r="H75" s="16"/>
      <c r="I75" s="16"/>
      <c r="J75" s="16" t="e">
        <f>F75/E75</f>
        <v>#DIV/0!</v>
      </c>
    </row>
    <row r="76" spans="1:10" ht="12.75">
      <c r="A76" s="16" t="s">
        <v>128</v>
      </c>
      <c r="B76" s="16">
        <v>0</v>
      </c>
      <c r="C76" s="16"/>
      <c r="D76" s="16"/>
      <c r="E76" s="16">
        <f>D76*B76</f>
        <v>0</v>
      </c>
      <c r="F76" s="16"/>
      <c r="G76" s="16"/>
      <c r="H76" s="16"/>
      <c r="I76" s="16"/>
      <c r="J76" s="16" t="e">
        <f>F76/E76</f>
        <v>#DIV/0!</v>
      </c>
    </row>
    <row r="77" spans="1:10" ht="12.75">
      <c r="A77" s="16" t="s">
        <v>129</v>
      </c>
      <c r="B77" s="16">
        <v>0</v>
      </c>
      <c r="C77" s="16"/>
      <c r="D77" s="16"/>
      <c r="E77" s="16">
        <f>D77*B77</f>
        <v>0</v>
      </c>
      <c r="F77" s="16"/>
      <c r="G77" s="16"/>
      <c r="H77" s="16"/>
      <c r="I77" s="16"/>
      <c r="J77" s="16" t="e">
        <f>F77/E77</f>
        <v>#DIV/0!</v>
      </c>
    </row>
    <row r="78" spans="1:10" ht="12.75">
      <c r="A78" s="16" t="s">
        <v>130</v>
      </c>
      <c r="B78" s="16">
        <v>0</v>
      </c>
      <c r="C78" s="16"/>
      <c r="D78" s="16"/>
      <c r="E78" s="16">
        <f>D78*B78</f>
        <v>0</v>
      </c>
      <c r="F78" s="16"/>
      <c r="G78" s="16"/>
      <c r="H78" s="16"/>
      <c r="I78" s="16"/>
      <c r="J78" s="16" t="e">
        <f>F78/E78</f>
        <v>#DIV/0!</v>
      </c>
    </row>
    <row r="79" spans="1:10" ht="12.75">
      <c r="A79" s="18" t="s">
        <v>131</v>
      </c>
      <c r="B79" s="16">
        <v>5</v>
      </c>
      <c r="C79" s="16" t="s">
        <v>132</v>
      </c>
      <c r="D79" s="16">
        <v>100</v>
      </c>
      <c r="E79" s="16">
        <f>D79*B79</f>
        <v>500</v>
      </c>
      <c r="F79" s="16">
        <f>448*B79</f>
        <v>2240</v>
      </c>
      <c r="G79" s="16">
        <f>22.7*B79</f>
        <v>113.5</v>
      </c>
      <c r="H79" s="16">
        <f>33.7*B79</f>
        <v>168.5</v>
      </c>
      <c r="I79" s="16">
        <f>25.4*B79</f>
        <v>127</v>
      </c>
      <c r="J79" s="16">
        <f>F79/E79</f>
        <v>4.48</v>
      </c>
    </row>
    <row r="80" spans="1:10" ht="12.75">
      <c r="A80" s="16" t="s">
        <v>133</v>
      </c>
      <c r="B80" s="16">
        <v>0</v>
      </c>
      <c r="C80" s="16"/>
      <c r="D80" s="16"/>
      <c r="E80" s="16">
        <f>D80*B80</f>
        <v>0</v>
      </c>
      <c r="F80" s="16"/>
      <c r="G80" s="16"/>
      <c r="H80" s="16"/>
      <c r="I80" s="16"/>
      <c r="J80" s="16" t="e">
        <f>F80/E80</f>
        <v>#DIV/0!</v>
      </c>
    </row>
    <row r="81" spans="1:10" ht="12.75">
      <c r="A81" s="16" t="s">
        <v>134</v>
      </c>
      <c r="B81" s="16">
        <v>4</v>
      </c>
      <c r="C81" s="16"/>
      <c r="D81" s="16"/>
      <c r="E81" s="16">
        <f>D81*B81</f>
        <v>0</v>
      </c>
      <c r="F81" s="16"/>
      <c r="G81" s="16"/>
      <c r="H81" s="16"/>
      <c r="I81" s="16"/>
      <c r="J81" s="16" t="e">
        <f>F81/E81</f>
        <v>#DIV/0!</v>
      </c>
    </row>
    <row r="82" spans="1:10" ht="12.75">
      <c r="A82" s="16" t="s">
        <v>135</v>
      </c>
      <c r="B82" s="16">
        <v>6</v>
      </c>
      <c r="C82" s="16"/>
      <c r="D82" s="16"/>
      <c r="E82" s="16">
        <f>D82*B82</f>
        <v>0</v>
      </c>
      <c r="F82" s="16"/>
      <c r="G82" s="16"/>
      <c r="H82" s="16"/>
      <c r="I82" s="16"/>
      <c r="J82" s="16" t="e">
        <f>F82/E82</f>
        <v>#DIV/0!</v>
      </c>
    </row>
    <row r="83" spans="1:10" ht="12.75">
      <c r="A83" s="18" t="s">
        <v>136</v>
      </c>
      <c r="B83" s="16">
        <v>1</v>
      </c>
      <c r="C83" s="16" t="s">
        <v>137</v>
      </c>
      <c r="D83" s="16">
        <v>340</v>
      </c>
      <c r="E83" s="16">
        <f>D83*B83</f>
        <v>340</v>
      </c>
      <c r="F83" s="16">
        <f>1133*B83</f>
        <v>1133</v>
      </c>
      <c r="G83" s="16">
        <f>22.7*B83</f>
        <v>22.7</v>
      </c>
      <c r="H83" s="16">
        <f>227*B83</f>
        <v>227</v>
      </c>
      <c r="I83" s="16">
        <v>0</v>
      </c>
      <c r="J83" s="16">
        <f>F83/E83</f>
        <v>3.3323529411764707</v>
      </c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7" t="s">
        <v>138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19" t="s">
        <v>139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8" t="s">
        <v>140</v>
      </c>
      <c r="B88" s="16">
        <v>4</v>
      </c>
      <c r="C88" s="16" t="s">
        <v>132</v>
      </c>
      <c r="D88" s="16">
        <v>100</v>
      </c>
      <c r="E88" s="16">
        <f>D88*B88</f>
        <v>400</v>
      </c>
      <c r="F88" s="16">
        <f>400*B88</f>
        <v>1600</v>
      </c>
      <c r="G88" s="16">
        <v>0</v>
      </c>
      <c r="H88" s="16">
        <f>80*B88</f>
        <v>320</v>
      </c>
      <c r="I88" s="16">
        <v>0</v>
      </c>
      <c r="J88" s="16">
        <f>F88/E88</f>
        <v>4</v>
      </c>
    </row>
    <row r="89" spans="1:10" ht="12.75">
      <c r="A89" s="18" t="s">
        <v>141</v>
      </c>
      <c r="B89" s="16">
        <v>2</v>
      </c>
      <c r="C89" s="16" t="s">
        <v>132</v>
      </c>
      <c r="D89" s="16">
        <v>100</v>
      </c>
      <c r="E89" s="16">
        <f>D89*B89</f>
        <v>200</v>
      </c>
      <c r="F89" s="16">
        <f>410*B89</f>
        <v>820</v>
      </c>
      <c r="G89" s="16">
        <v>0</v>
      </c>
      <c r="H89" s="16">
        <f>90*B89</f>
        <v>180</v>
      </c>
      <c r="I89" s="16">
        <v>0</v>
      </c>
      <c r="J89" s="16">
        <f>F89/E89</f>
        <v>4.1</v>
      </c>
    </row>
    <row r="90" spans="1:10" ht="12.75">
      <c r="A90" s="18" t="s">
        <v>142</v>
      </c>
      <c r="B90" s="16">
        <v>2</v>
      </c>
      <c r="C90" s="16" t="s">
        <v>132</v>
      </c>
      <c r="D90" s="16">
        <v>100</v>
      </c>
      <c r="E90" s="16">
        <f>D90*B90</f>
        <v>200</v>
      </c>
      <c r="F90" s="16">
        <f>340*B90</f>
        <v>680</v>
      </c>
      <c r="G90" s="16">
        <v>0</v>
      </c>
      <c r="H90" s="16">
        <f>94*B90</f>
        <v>188</v>
      </c>
      <c r="I90" s="16">
        <v>0</v>
      </c>
      <c r="J90" s="16">
        <f>F90/E90</f>
        <v>3.4</v>
      </c>
    </row>
    <row r="91" spans="1:10" ht="12.75">
      <c r="A91" s="18" t="s">
        <v>143</v>
      </c>
      <c r="B91" s="16">
        <v>1</v>
      </c>
      <c r="C91" s="16" t="s">
        <v>47</v>
      </c>
      <c r="D91" s="16">
        <v>1000</v>
      </c>
      <c r="E91" s="16">
        <f>D91*B91</f>
        <v>1000</v>
      </c>
      <c r="F91" s="16">
        <f>2820*B91</f>
        <v>2820</v>
      </c>
      <c r="G91" s="16">
        <f>24*B91</f>
        <v>24</v>
      </c>
      <c r="H91" s="16">
        <f>750*B91</f>
        <v>750</v>
      </c>
      <c r="I91" s="16">
        <f>4*B91</f>
        <v>4</v>
      </c>
      <c r="J91" s="16">
        <f>F91/E91</f>
        <v>2.82</v>
      </c>
    </row>
    <row r="92" spans="1:10" ht="12.75">
      <c r="A92" s="18" t="s">
        <v>144</v>
      </c>
      <c r="B92" s="16">
        <v>1</v>
      </c>
      <c r="C92" s="16" t="s">
        <v>47</v>
      </c>
      <c r="D92" s="16">
        <v>1000</v>
      </c>
      <c r="E92" s="16">
        <f>D92*B92</f>
        <v>1000</v>
      </c>
      <c r="F92" s="16">
        <f>2820*B92</f>
        <v>2820</v>
      </c>
      <c r="G92" s="16">
        <f>24*B92</f>
        <v>24</v>
      </c>
      <c r="H92" s="16">
        <f>750*B92</f>
        <v>750</v>
      </c>
      <c r="I92" s="16">
        <f>4*B92</f>
        <v>4</v>
      </c>
      <c r="J92" s="16">
        <f>F92/E92</f>
        <v>2.82</v>
      </c>
    </row>
    <row r="93" spans="1:10" ht="12.75">
      <c r="A93" s="18" t="s">
        <v>145</v>
      </c>
      <c r="B93" s="16">
        <v>1</v>
      </c>
      <c r="C93" s="16" t="s">
        <v>146</v>
      </c>
      <c r="D93" s="16">
        <v>1360</v>
      </c>
      <c r="E93" s="16">
        <f>D93*B93</f>
        <v>1360</v>
      </c>
      <c r="F93" s="16">
        <f>4420*B93</f>
        <v>4420</v>
      </c>
      <c r="G93" s="16">
        <v>0</v>
      </c>
      <c r="H93" s="16">
        <f>1122*B93</f>
        <v>1122</v>
      </c>
      <c r="I93" s="16">
        <v>0</v>
      </c>
      <c r="J93" s="16">
        <f>F93/E93</f>
        <v>3.25</v>
      </c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19" t="s">
        <v>147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18" t="s">
        <v>148</v>
      </c>
      <c r="B97" s="16">
        <v>0.5</v>
      </c>
      <c r="C97" s="16" t="s">
        <v>132</v>
      </c>
      <c r="D97" s="16">
        <v>100</v>
      </c>
      <c r="E97" s="16">
        <f>D97*B97</f>
        <v>50</v>
      </c>
      <c r="F97" s="16">
        <f>350*B97</f>
        <v>175</v>
      </c>
      <c r="G97" s="16">
        <v>0</v>
      </c>
      <c r="H97" s="16">
        <f>90*B97</f>
        <v>45</v>
      </c>
      <c r="I97" s="16">
        <v>0</v>
      </c>
      <c r="J97" s="16">
        <f>F97/E97</f>
        <v>3.5</v>
      </c>
    </row>
    <row r="98" spans="1:10" ht="12.75">
      <c r="A98" s="18" t="s">
        <v>149</v>
      </c>
      <c r="B98" s="16">
        <v>3</v>
      </c>
      <c r="C98" s="16" t="s">
        <v>132</v>
      </c>
      <c r="D98" s="16">
        <v>100</v>
      </c>
      <c r="E98" s="16">
        <f>D98*B98</f>
        <v>300</v>
      </c>
      <c r="F98" s="16">
        <f>350*B98</f>
        <v>1050</v>
      </c>
      <c r="G98" s="16">
        <v>0</v>
      </c>
      <c r="H98" s="16">
        <f>90*B98</f>
        <v>270</v>
      </c>
      <c r="I98" s="16">
        <v>0</v>
      </c>
      <c r="J98" s="16">
        <f>F98/E98</f>
        <v>3.5</v>
      </c>
    </row>
    <row r="99" spans="1:10" ht="12.75">
      <c r="A99" s="18" t="s">
        <v>150</v>
      </c>
      <c r="B99" s="16">
        <v>1</v>
      </c>
      <c r="C99" s="16" t="s">
        <v>132</v>
      </c>
      <c r="D99" s="16">
        <v>100</v>
      </c>
      <c r="E99" s="16">
        <f>D99*B99</f>
        <v>100</v>
      </c>
      <c r="F99" s="16">
        <f>350*B99</f>
        <v>350</v>
      </c>
      <c r="G99" s="16">
        <v>0</v>
      </c>
      <c r="H99" s="16">
        <f>90*B99</f>
        <v>90</v>
      </c>
      <c r="I99" s="16">
        <v>0</v>
      </c>
      <c r="J99" s="16">
        <f>F99/E99</f>
        <v>3.5</v>
      </c>
    </row>
    <row r="100" spans="1:10" ht="12.75">
      <c r="A100" s="18" t="s">
        <v>151</v>
      </c>
      <c r="B100" s="16">
        <v>20</v>
      </c>
      <c r="C100" s="16" t="s">
        <v>152</v>
      </c>
      <c r="D100" s="16">
        <v>110</v>
      </c>
      <c r="E100" s="16">
        <f>(D100-85)*B100</f>
        <v>500</v>
      </c>
      <c r="F100" s="16">
        <f>44*B100</f>
        <v>880</v>
      </c>
      <c r="G100" s="16">
        <f>1.2*B100</f>
        <v>24</v>
      </c>
      <c r="H100" s="16">
        <f>10.8*B100</f>
        <v>216</v>
      </c>
      <c r="I100" s="16">
        <v>0</v>
      </c>
      <c r="J100" s="16">
        <f>F100/E100</f>
        <v>1.76</v>
      </c>
    </row>
    <row r="101" spans="1:10" ht="12.75">
      <c r="A101" s="18" t="s">
        <v>153</v>
      </c>
      <c r="B101" s="16">
        <v>0.5</v>
      </c>
      <c r="C101" s="16" t="s">
        <v>132</v>
      </c>
      <c r="D101" s="16">
        <v>100</v>
      </c>
      <c r="E101" s="16">
        <f>D101*B101</f>
        <v>50</v>
      </c>
      <c r="F101" s="16">
        <f>350*B101</f>
        <v>175</v>
      </c>
      <c r="G101" s="16">
        <v>0</v>
      </c>
      <c r="H101" s="16">
        <f>90*B101</f>
        <v>45</v>
      </c>
      <c r="I101" s="16">
        <v>0</v>
      </c>
      <c r="J101" s="16">
        <f>F101/E101</f>
        <v>3.5</v>
      </c>
    </row>
    <row r="102" spans="5:10" ht="12.75">
      <c r="E102" s="16">
        <f>D102*B102</f>
        <v>0</v>
      </c>
      <c r="J102" s="16"/>
    </row>
    <row r="103" spans="1:10" ht="12.75">
      <c r="A103" s="17" t="s">
        <v>154</v>
      </c>
      <c r="E103" s="16"/>
      <c r="J103" s="16"/>
    </row>
    <row r="104" spans="1:10" ht="12.75">
      <c r="A104" s="24" t="s">
        <v>155</v>
      </c>
      <c r="B104" s="10">
        <v>1</v>
      </c>
      <c r="C104" s="10" t="s">
        <v>156</v>
      </c>
      <c r="D104" s="10">
        <v>1360</v>
      </c>
      <c r="E104" s="16">
        <f>D104*B104</f>
        <v>1360</v>
      </c>
      <c r="F104" s="10">
        <f>7888*B104</f>
        <v>7888</v>
      </c>
      <c r="G104" s="10">
        <f>299*B104</f>
        <v>299</v>
      </c>
      <c r="H104" s="10">
        <f>272*B104</f>
        <v>272</v>
      </c>
      <c r="I104" s="10">
        <f>680*B104</f>
        <v>680</v>
      </c>
      <c r="J104" s="16">
        <f>F104/E104</f>
        <v>5.8</v>
      </c>
    </row>
    <row r="105" spans="1:10" ht="12.75">
      <c r="A105" s="24" t="s">
        <v>157</v>
      </c>
      <c r="B105" s="10">
        <v>1</v>
      </c>
      <c r="C105" s="10" t="s">
        <v>158</v>
      </c>
      <c r="D105" s="10">
        <v>1360</v>
      </c>
      <c r="E105" s="16">
        <f>D105*B105</f>
        <v>1360</v>
      </c>
      <c r="F105" s="10">
        <f>8894*B105</f>
        <v>8894</v>
      </c>
      <c r="G105" s="10">
        <f>207*B105</f>
        <v>207</v>
      </c>
      <c r="H105" s="10">
        <f>187*B105</f>
        <v>187</v>
      </c>
      <c r="I105" s="10">
        <f>887*B105</f>
        <v>887</v>
      </c>
      <c r="J105" s="16">
        <f>F105/E105</f>
        <v>6.5397058823529415</v>
      </c>
    </row>
    <row r="106" spans="1:10" ht="12.75">
      <c r="A106" s="24" t="s">
        <v>159</v>
      </c>
      <c r="B106" s="10">
        <v>2</v>
      </c>
      <c r="C106" s="10" t="s">
        <v>67</v>
      </c>
      <c r="D106" s="10">
        <v>454</v>
      </c>
      <c r="E106" s="16">
        <f>D106*B106</f>
        <v>908</v>
      </c>
      <c r="F106" s="10">
        <f>2400*B106</f>
        <v>4800</v>
      </c>
      <c r="G106" s="10">
        <f>120*B106</f>
        <v>240</v>
      </c>
      <c r="H106" s="10">
        <f>120*B106</f>
        <v>240</v>
      </c>
      <c r="I106" s="10">
        <f>180*B106</f>
        <v>360</v>
      </c>
      <c r="J106" s="16">
        <f>F106/E106</f>
        <v>5.286343612334802</v>
      </c>
    </row>
    <row r="107" spans="1:10" ht="12.75">
      <c r="A107" s="25"/>
      <c r="E107" s="16"/>
      <c r="J107" s="16"/>
    </row>
    <row r="108" spans="1:10" ht="12.75">
      <c r="A108" s="26" t="s">
        <v>160</v>
      </c>
      <c r="E108" s="16"/>
      <c r="J108" s="16"/>
    </row>
    <row r="109" spans="5:10" ht="12.75">
      <c r="E109" s="16"/>
      <c r="J109" s="16"/>
    </row>
    <row r="110" spans="1:10" ht="12.75">
      <c r="A110" s="27" t="s">
        <v>161</v>
      </c>
      <c r="B110" s="10">
        <v>4.5</v>
      </c>
      <c r="C110" s="10" t="s">
        <v>162</v>
      </c>
      <c r="D110" s="10">
        <v>2400</v>
      </c>
      <c r="E110" s="16">
        <f>D110*B110</f>
        <v>10800</v>
      </c>
      <c r="F110" s="10">
        <f>17000*B110</f>
        <v>76500</v>
      </c>
      <c r="G110" s="10">
        <f>286*B110</f>
        <v>1287</v>
      </c>
      <c r="H110" s="28">
        <f>1873*B110</f>
        <v>8428.5</v>
      </c>
      <c r="I110" s="10">
        <f>1000*B110</f>
        <v>4500</v>
      </c>
      <c r="J110" s="16">
        <f>F110/E110</f>
        <v>7.083333333333333</v>
      </c>
    </row>
    <row r="111" ht="12.75">
      <c r="E111" s="16"/>
    </row>
    <row r="112" spans="1:5" ht="12.75">
      <c r="A112" s="29" t="s">
        <v>163</v>
      </c>
      <c r="E112" s="16"/>
    </row>
    <row r="113" spans="1:10" ht="12.75">
      <c r="A113" s="27" t="s">
        <v>164</v>
      </c>
      <c r="B113" s="10">
        <v>2</v>
      </c>
      <c r="C113" s="10" t="s">
        <v>158</v>
      </c>
      <c r="D113" s="10">
        <v>943</v>
      </c>
      <c r="E113" s="16">
        <f>D113*B113</f>
        <v>1886</v>
      </c>
      <c r="F113" s="10">
        <f>4600*B113</f>
        <v>9200</v>
      </c>
      <c r="G113" s="10">
        <f>46*B113</f>
        <v>92</v>
      </c>
      <c r="H113" s="10">
        <f>644*B113</f>
        <v>1288</v>
      </c>
      <c r="I113" s="10">
        <f>207*B113</f>
        <v>414</v>
      </c>
      <c r="J113" s="10">
        <f>F113/E113</f>
        <v>4.878048780487805</v>
      </c>
    </row>
    <row r="114" spans="1:10" ht="12.75">
      <c r="A114" s="27" t="s">
        <v>165</v>
      </c>
      <c r="B114" s="10">
        <v>48</v>
      </c>
      <c r="C114" s="10" t="s">
        <v>160</v>
      </c>
      <c r="D114" s="10">
        <v>58</v>
      </c>
      <c r="E114" s="16">
        <f>D114*B114</f>
        <v>2784</v>
      </c>
      <c r="F114" s="10">
        <f>275*B114</f>
        <v>13200</v>
      </c>
      <c r="G114" s="10">
        <f>3*B114</f>
        <v>144</v>
      </c>
      <c r="H114" s="10">
        <f>39*B114</f>
        <v>1872</v>
      </c>
      <c r="I114" s="10">
        <f>12*B114</f>
        <v>576</v>
      </c>
      <c r="J114" s="10">
        <f>F114/E114</f>
        <v>4.741379310344827</v>
      </c>
    </row>
    <row r="115" spans="1:10" ht="12.75">
      <c r="A115" s="27" t="s">
        <v>166</v>
      </c>
      <c r="B115" s="10">
        <v>9</v>
      </c>
      <c r="C115" s="10" t="s">
        <v>160</v>
      </c>
      <c r="D115" s="10">
        <v>300</v>
      </c>
      <c r="E115" s="16">
        <f>D115*B115</f>
        <v>2700</v>
      </c>
      <c r="F115" s="10">
        <f>1760*B115</f>
        <v>15840</v>
      </c>
      <c r="G115" s="10">
        <f>32*B115</f>
        <v>288</v>
      </c>
      <c r="H115" s="10">
        <f>144*B115</f>
        <v>1296</v>
      </c>
      <c r="I115" s="10">
        <f>120*B115</f>
        <v>1080</v>
      </c>
      <c r="J115" s="10">
        <f>F115/E115</f>
        <v>5.866666666666666</v>
      </c>
    </row>
    <row r="116" spans="1:10" ht="12.75">
      <c r="A116" s="27" t="s">
        <v>167</v>
      </c>
      <c r="B116" s="10">
        <v>8</v>
      </c>
      <c r="C116" s="10" t="s">
        <v>89</v>
      </c>
      <c r="D116" s="10">
        <v>100</v>
      </c>
      <c r="E116" s="16">
        <f>D116*B116</f>
        <v>800</v>
      </c>
      <c r="F116" s="10">
        <f>470*B116</f>
        <v>3760</v>
      </c>
      <c r="G116" s="10">
        <f>6.7*B116</f>
        <v>53.6</v>
      </c>
      <c r="H116" s="10">
        <f>67*B116</f>
        <v>536</v>
      </c>
      <c r="I116" s="10">
        <f>26.8*B116</f>
        <v>214.4</v>
      </c>
      <c r="J116" s="10">
        <f>F116/E116</f>
        <v>4.7</v>
      </c>
    </row>
    <row r="117" spans="1:10" ht="12.75">
      <c r="A117" s="27" t="s">
        <v>168</v>
      </c>
      <c r="B117" s="10">
        <v>2</v>
      </c>
      <c r="C117" s="10" t="s">
        <v>156</v>
      </c>
      <c r="D117" s="10">
        <v>2500</v>
      </c>
      <c r="E117" s="16">
        <f>D117*B117</f>
        <v>5000</v>
      </c>
      <c r="F117" s="10">
        <f>8536*B117</f>
        <v>17072</v>
      </c>
      <c r="G117" s="10">
        <v>0</v>
      </c>
      <c r="H117" s="10">
        <f>2134*B117</f>
        <v>4268</v>
      </c>
      <c r="I117" s="10">
        <v>0</v>
      </c>
      <c r="J117" s="10">
        <f>F117/E117</f>
        <v>3.4144</v>
      </c>
    </row>
    <row r="118" spans="1:10" ht="12.75">
      <c r="A118" s="27" t="s">
        <v>169</v>
      </c>
      <c r="B118" s="10">
        <v>18</v>
      </c>
      <c r="C118" s="10" t="s">
        <v>160</v>
      </c>
      <c r="D118" s="10">
        <v>68</v>
      </c>
      <c r="E118" s="16">
        <f>D118*B118</f>
        <v>1224</v>
      </c>
      <c r="F118" s="10">
        <f>250*B118</f>
        <v>4500</v>
      </c>
      <c r="G118" s="10">
        <f>10*B118</f>
        <v>180</v>
      </c>
      <c r="H118" s="10">
        <f>44*B118</f>
        <v>792</v>
      </c>
      <c r="I118" s="10">
        <f>5*B118</f>
        <v>90</v>
      </c>
      <c r="J118" s="10">
        <f>F118/E118</f>
        <v>3.676470588235294</v>
      </c>
    </row>
    <row r="119" spans="1:5" ht="12.75">
      <c r="A119" s="27" t="s">
        <v>170</v>
      </c>
      <c r="B119" s="10">
        <v>1</v>
      </c>
      <c r="C119" s="10" t="s">
        <v>171</v>
      </c>
      <c r="D119" s="10">
        <v>750</v>
      </c>
      <c r="E119" s="16">
        <v>750</v>
      </c>
    </row>
    <row r="120" ht="12.75">
      <c r="E120" s="16"/>
    </row>
    <row r="121" spans="4:5" ht="12.75">
      <c r="D121" s="10" t="s">
        <v>172</v>
      </c>
      <c r="E121" s="16">
        <f>SUM(E5:E119)</f>
        <v>128565</v>
      </c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zoomScale="80" zoomScaleNormal="80" workbookViewId="0" topLeftCell="A1">
      <selection activeCell="J12" sqref="J12"/>
    </sheetView>
  </sheetViews>
  <sheetFormatPr defaultColWidth="12.57421875" defaultRowHeight="12.75"/>
  <cols>
    <col min="1" max="1" width="31.00390625" style="10" customWidth="1"/>
    <col min="2" max="2" width="17.00390625" style="10" customWidth="1"/>
    <col min="3" max="5" width="16.00390625" style="10" customWidth="1"/>
    <col min="6" max="6" width="13.140625" style="10" customWidth="1"/>
    <col min="7" max="9" width="11.57421875" style="10" customWidth="1"/>
    <col min="10" max="10" width="15.8515625" style="10" customWidth="1"/>
    <col min="11" max="16384" width="11.57421875" style="10" customWidth="1"/>
  </cols>
  <sheetData>
    <row r="1" spans="1:10" ht="12.75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26</v>
      </c>
      <c r="G1" s="11" t="s">
        <v>17</v>
      </c>
      <c r="H1" s="11" t="s">
        <v>16</v>
      </c>
      <c r="I1" s="11" t="s">
        <v>18</v>
      </c>
      <c r="J1" s="11" t="s">
        <v>40</v>
      </c>
    </row>
    <row r="2" spans="1:10" ht="12.75">
      <c r="A2" s="12" t="s">
        <v>41</v>
      </c>
      <c r="B2" s="13"/>
      <c r="C2" s="14"/>
      <c r="D2" s="15"/>
      <c r="E2" s="11"/>
      <c r="F2" s="11"/>
      <c r="G2" s="11"/>
      <c r="H2" s="11"/>
      <c r="I2" s="11"/>
      <c r="J2" s="11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 t="s">
        <v>45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6" t="s">
        <v>46</v>
      </c>
      <c r="B5" s="16">
        <v>0.5</v>
      </c>
      <c r="C5" s="16" t="s">
        <v>47</v>
      </c>
      <c r="D5" s="16">
        <v>1000</v>
      </c>
      <c r="E5" s="16">
        <f>D5*B5</f>
        <v>500</v>
      </c>
      <c r="F5" s="16">
        <f>4000*B5</f>
        <v>2000</v>
      </c>
      <c r="G5" s="16">
        <f>200*B5</f>
        <v>100</v>
      </c>
      <c r="H5" s="16">
        <f>400*B5</f>
        <v>200</v>
      </c>
      <c r="I5" s="16">
        <f>100*B5</f>
        <v>50</v>
      </c>
      <c r="J5" s="16">
        <f>F5/E5</f>
        <v>4</v>
      </c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6" t="s">
        <v>48</v>
      </c>
      <c r="B7" s="16"/>
      <c r="C7" s="16"/>
      <c r="D7" s="16"/>
      <c r="E7" s="16">
        <f>D7*B7</f>
        <v>0</v>
      </c>
      <c r="F7" s="16"/>
      <c r="G7" s="16"/>
      <c r="H7" s="16"/>
      <c r="I7" s="16"/>
      <c r="J7" s="16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19" t="s">
        <v>49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2.75">
      <c r="A10" s="16" t="s">
        <v>50</v>
      </c>
      <c r="B10" s="16">
        <v>0.5</v>
      </c>
      <c r="C10" s="16" t="s">
        <v>47</v>
      </c>
      <c r="D10" s="16">
        <v>1000</v>
      </c>
      <c r="E10" s="16">
        <f>D10*B10</f>
        <v>500</v>
      </c>
      <c r="F10" s="16">
        <f>3500*B10</f>
        <v>1750</v>
      </c>
      <c r="G10" s="16">
        <v>0</v>
      </c>
      <c r="H10" s="16">
        <f>850*B10</f>
        <v>425</v>
      </c>
      <c r="I10" s="16">
        <v>0</v>
      </c>
      <c r="J10" s="16">
        <f>F10/E10</f>
        <v>3.5</v>
      </c>
    </row>
    <row r="11" spans="1:10" ht="12.75">
      <c r="A11" s="16" t="s">
        <v>51</v>
      </c>
      <c r="B11" s="16">
        <v>0</v>
      </c>
      <c r="C11" s="16" t="s">
        <v>47</v>
      </c>
      <c r="D11" s="16">
        <v>1000</v>
      </c>
      <c r="E11" s="16">
        <f>D11*B11</f>
        <v>0</v>
      </c>
      <c r="F11" s="16">
        <f>3500*B11</f>
        <v>0</v>
      </c>
      <c r="G11" s="16">
        <v>0</v>
      </c>
      <c r="H11" s="16">
        <f>850*B11</f>
        <v>0</v>
      </c>
      <c r="I11" s="16">
        <v>0</v>
      </c>
      <c r="J11" s="16" t="e">
        <f>F11/E11</f>
        <v>#DIV/0!</v>
      </c>
    </row>
    <row r="12" spans="1:10" ht="12.75">
      <c r="A12" s="16" t="s">
        <v>52</v>
      </c>
      <c r="B12" s="16">
        <v>1.2</v>
      </c>
      <c r="C12" s="16" t="s">
        <v>53</v>
      </c>
      <c r="D12" s="16">
        <v>1000</v>
      </c>
      <c r="E12" s="16">
        <f>D12*B12</f>
        <v>1200</v>
      </c>
      <c r="F12" s="16">
        <f>3600*B12</f>
        <v>4320</v>
      </c>
      <c r="G12" s="16">
        <f>360*B12</f>
        <v>432</v>
      </c>
      <c r="H12" s="16">
        <f>520*B12</f>
        <v>624</v>
      </c>
      <c r="I12" s="16">
        <v>0</v>
      </c>
      <c r="J12" s="16">
        <f>F12/E12</f>
        <v>3.6</v>
      </c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20" t="s">
        <v>54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9" t="s">
        <v>55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 t="s">
        <v>56</v>
      </c>
      <c r="B17" s="16">
        <v>1</v>
      </c>
      <c r="C17" s="16" t="s">
        <v>57</v>
      </c>
      <c r="D17" s="16">
        <v>500</v>
      </c>
      <c r="E17" s="16">
        <f>D17*B17</f>
        <v>500</v>
      </c>
      <c r="F17" s="16">
        <f>2000*B17</f>
        <v>2000</v>
      </c>
      <c r="G17" s="16">
        <f>116.7*B17</f>
        <v>116.7</v>
      </c>
      <c r="H17" s="16">
        <f>16.7*B17</f>
        <v>16.7</v>
      </c>
      <c r="I17" s="16">
        <f>183*B17</f>
        <v>183</v>
      </c>
      <c r="J17" s="16">
        <f>F17/E17</f>
        <v>4</v>
      </c>
    </row>
    <row r="18" spans="1:10" ht="12.75">
      <c r="A18" s="16" t="s">
        <v>58</v>
      </c>
      <c r="B18" s="16">
        <v>0</v>
      </c>
      <c r="C18" s="16" t="s">
        <v>59</v>
      </c>
      <c r="D18" s="16">
        <v>1000</v>
      </c>
      <c r="E18" s="16">
        <f>D18*B18</f>
        <v>0</v>
      </c>
      <c r="F18" s="16">
        <f>4166*B18</f>
        <v>0</v>
      </c>
      <c r="G18" s="16">
        <f>333*B18</f>
        <v>0</v>
      </c>
      <c r="H18" s="16">
        <v>0</v>
      </c>
      <c r="I18" s="16">
        <f>333*B18</f>
        <v>0</v>
      </c>
      <c r="J18" s="16" t="e">
        <f>F18/E18</f>
        <v>#DIV/0!</v>
      </c>
    </row>
    <row r="19" spans="1:10" ht="12.75">
      <c r="A19" s="16" t="s">
        <v>60</v>
      </c>
      <c r="B19" s="16">
        <v>1</v>
      </c>
      <c r="C19" s="16" t="s">
        <v>61</v>
      </c>
      <c r="D19" s="16">
        <v>454</v>
      </c>
      <c r="E19" s="16">
        <f>D19*B19</f>
        <v>454</v>
      </c>
      <c r="F19" s="16">
        <f>3178*B19</f>
        <v>3178</v>
      </c>
      <c r="G19" s="16">
        <v>0</v>
      </c>
      <c r="H19" s="16">
        <v>0</v>
      </c>
      <c r="I19" s="16">
        <f>363*B19</f>
        <v>363</v>
      </c>
      <c r="J19" s="16">
        <f>F19/E19</f>
        <v>7</v>
      </c>
    </row>
    <row r="20" spans="1:10" ht="12.75">
      <c r="A20" s="16" t="s">
        <v>62</v>
      </c>
      <c r="B20" s="16">
        <v>1.5</v>
      </c>
      <c r="C20" s="16" t="s">
        <v>63</v>
      </c>
      <c r="D20" s="16">
        <v>872</v>
      </c>
      <c r="E20" s="16">
        <f>D20*B20</f>
        <v>1308</v>
      </c>
      <c r="F20" s="16">
        <f>7708*B20</f>
        <v>11562</v>
      </c>
      <c r="G20" s="16">
        <v>0</v>
      </c>
      <c r="H20" s="16">
        <v>0</v>
      </c>
      <c r="I20" s="16">
        <f>872*B20</f>
        <v>1308</v>
      </c>
      <c r="J20" s="16">
        <f>F20/E20</f>
        <v>8.839449541284404</v>
      </c>
    </row>
    <row r="21" spans="1:10" ht="12.75">
      <c r="A21" s="16"/>
      <c r="B21" s="16"/>
      <c r="C21" s="16"/>
      <c r="D21" s="16"/>
      <c r="E21" s="16">
        <f>D21*B21</f>
        <v>0</v>
      </c>
      <c r="F21" s="16"/>
      <c r="G21" s="16"/>
      <c r="H21" s="16"/>
      <c r="I21" s="16"/>
      <c r="J21" s="16"/>
    </row>
    <row r="22" spans="1:10" ht="12.75">
      <c r="A22" s="19" t="s">
        <v>64</v>
      </c>
      <c r="B22" s="16"/>
      <c r="C22" s="16"/>
      <c r="D22" s="16"/>
      <c r="E22" s="16">
        <f>D22*B22</f>
        <v>0</v>
      </c>
      <c r="F22" s="16"/>
      <c r="G22" s="16"/>
      <c r="H22" s="16"/>
      <c r="I22" s="16"/>
      <c r="J22" s="16"/>
    </row>
    <row r="23" spans="1:10" ht="12.75">
      <c r="A23" s="30" t="s">
        <v>65</v>
      </c>
      <c r="B23" s="16">
        <v>0</v>
      </c>
      <c r="C23" s="16" t="s">
        <v>47</v>
      </c>
      <c r="D23" s="16">
        <v>1000</v>
      </c>
      <c r="E23" s="16">
        <f>D23*B23</f>
        <v>0</v>
      </c>
      <c r="F23" s="16">
        <f>2118*B23</f>
        <v>0</v>
      </c>
      <c r="G23" s="16">
        <f>196*B23</f>
        <v>0</v>
      </c>
      <c r="H23" s="16">
        <v>0</v>
      </c>
      <c r="I23" s="16">
        <f>149*B23</f>
        <v>0</v>
      </c>
      <c r="J23" s="16" t="e">
        <f>F23/E23</f>
        <v>#DIV/0!</v>
      </c>
    </row>
    <row r="24" spans="1:10" ht="12.75">
      <c r="A24" s="16" t="s">
        <v>66</v>
      </c>
      <c r="B24" s="16">
        <v>1</v>
      </c>
      <c r="C24" s="16" t="s">
        <v>67</v>
      </c>
      <c r="D24" s="16">
        <v>1000</v>
      </c>
      <c r="E24" s="16">
        <f>D24*B24</f>
        <v>1000</v>
      </c>
      <c r="F24" s="16">
        <f>3927*B24</f>
        <v>3927</v>
      </c>
      <c r="G24" s="16">
        <f>214.2*B24</f>
        <v>214.2</v>
      </c>
      <c r="H24" s="16">
        <f>35.7*B24</f>
        <v>35.7</v>
      </c>
      <c r="I24" s="16">
        <f>321.3*B24</f>
        <v>321.3</v>
      </c>
      <c r="J24" s="16">
        <f>F24/E24</f>
        <v>3.927</v>
      </c>
    </row>
    <row r="25" spans="1:10" ht="12.75">
      <c r="A25" s="16" t="s">
        <v>68</v>
      </c>
      <c r="B25" s="16">
        <v>0.4</v>
      </c>
      <c r="C25" s="16" t="s">
        <v>69</v>
      </c>
      <c r="D25" s="16">
        <v>1000</v>
      </c>
      <c r="E25" s="16">
        <f>D25*B25</f>
        <v>400</v>
      </c>
      <c r="F25" s="16">
        <f>2118*B25</f>
        <v>847.2</v>
      </c>
      <c r="G25" s="16">
        <f>196*B25</f>
        <v>78.4</v>
      </c>
      <c r="H25" s="16">
        <v>0</v>
      </c>
      <c r="I25" s="16">
        <f>149*B25</f>
        <v>59.6</v>
      </c>
      <c r="J25" s="16">
        <f>F25/E25</f>
        <v>2.1180000000000003</v>
      </c>
    </row>
    <row r="26" spans="1:10" ht="12.75">
      <c r="A26" s="16" t="s">
        <v>70</v>
      </c>
      <c r="B26" s="16">
        <v>0</v>
      </c>
      <c r="C26" s="16"/>
      <c r="D26" s="16">
        <v>0</v>
      </c>
      <c r="E26" s="16">
        <f>D26*B26</f>
        <v>0</v>
      </c>
      <c r="F26" s="16"/>
      <c r="G26" s="16"/>
      <c r="H26" s="16"/>
      <c r="I26" s="16"/>
      <c r="J26" s="16" t="e">
        <f>F26/E26</f>
        <v>#DIV/0!</v>
      </c>
    </row>
    <row r="27" spans="1:10" ht="12.75">
      <c r="A27" s="16" t="s">
        <v>71</v>
      </c>
      <c r="B27" s="16">
        <v>0</v>
      </c>
      <c r="C27" s="16" t="s">
        <v>69</v>
      </c>
      <c r="D27" s="16">
        <v>1000</v>
      </c>
      <c r="E27" s="16">
        <f>D27*B27</f>
        <v>0</v>
      </c>
      <c r="F27" s="16">
        <f>3110*B27</f>
        <v>0</v>
      </c>
      <c r="G27" s="16">
        <f>250*B27</f>
        <v>0</v>
      </c>
      <c r="H27" s="16">
        <f>50*B27</f>
        <v>0</v>
      </c>
      <c r="I27" s="16">
        <f>220*B27</f>
        <v>0</v>
      </c>
      <c r="J27" s="16" t="e">
        <f>F27/E27</f>
        <v>#DIV/0!</v>
      </c>
    </row>
    <row r="28" spans="1:10" ht="12.75">
      <c r="A28" s="16" t="s">
        <v>72</v>
      </c>
      <c r="B28" s="16">
        <v>0</v>
      </c>
      <c r="C28" s="16" t="s">
        <v>73</v>
      </c>
      <c r="D28" s="16">
        <v>1800</v>
      </c>
      <c r="E28" s="16">
        <f>D28*B28</f>
        <v>0</v>
      </c>
      <c r="F28" s="16">
        <f>7457*B28</f>
        <v>0</v>
      </c>
      <c r="G28" s="16">
        <f>257*B28</f>
        <v>0</v>
      </c>
      <c r="H28" s="16">
        <f>25.7*B28</f>
        <v>0</v>
      </c>
      <c r="I28" s="16">
        <f>694*B28</f>
        <v>0</v>
      </c>
      <c r="J28" s="16" t="e">
        <f>F28/E28</f>
        <v>#DIV/0!</v>
      </c>
    </row>
    <row r="29" spans="1:10" ht="12.75">
      <c r="A29" s="16" t="s">
        <v>74</v>
      </c>
      <c r="B29" s="16">
        <v>0</v>
      </c>
      <c r="C29" s="16" t="s">
        <v>69</v>
      </c>
      <c r="D29" s="16">
        <v>1000</v>
      </c>
      <c r="E29" s="16">
        <f>D29*B29</f>
        <v>0</v>
      </c>
      <c r="F29" s="16">
        <f>1587*B29</f>
        <v>0</v>
      </c>
      <c r="G29" s="16">
        <f>238*B29</f>
        <v>0</v>
      </c>
      <c r="H29" s="16">
        <f>47.6*B29</f>
        <v>0</v>
      </c>
      <c r="I29" s="16">
        <f>47.6*B29</f>
        <v>0</v>
      </c>
      <c r="J29" s="16" t="e">
        <f>F29/E29</f>
        <v>#DIV/0!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9" t="s">
        <v>75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 t="s">
        <v>76</v>
      </c>
      <c r="B32" s="16">
        <v>3.5</v>
      </c>
      <c r="C32" s="16" t="s">
        <v>77</v>
      </c>
      <c r="D32" s="16">
        <v>1000</v>
      </c>
      <c r="E32" s="16">
        <f>D32*B32</f>
        <v>3500</v>
      </c>
      <c r="F32" s="16">
        <f>6667*B32</f>
        <v>23334.5</v>
      </c>
      <c r="G32" s="16">
        <f>200*B32</f>
        <v>700</v>
      </c>
      <c r="H32" s="16">
        <f>200*B32</f>
        <v>700</v>
      </c>
      <c r="I32" s="16">
        <f>533*B32</f>
        <v>1865.5</v>
      </c>
      <c r="J32" s="16">
        <f>F32/E32</f>
        <v>6.667</v>
      </c>
    </row>
    <row r="33" spans="1:10" ht="12.75">
      <c r="A33" s="16" t="s">
        <v>78</v>
      </c>
      <c r="B33" s="16">
        <v>1</v>
      </c>
      <c r="C33" s="16" t="s">
        <v>79</v>
      </c>
      <c r="D33" s="16">
        <v>1000</v>
      </c>
      <c r="E33" s="16">
        <f>D33*B33</f>
        <v>1000</v>
      </c>
      <c r="F33" s="16">
        <f>3000*B33</f>
        <v>3000</v>
      </c>
      <c r="G33" s="16">
        <v>0</v>
      </c>
      <c r="H33" s="16">
        <f>850*B33</f>
        <v>850</v>
      </c>
      <c r="I33" s="16">
        <v>0</v>
      </c>
      <c r="J33" s="16">
        <f>F33/E33</f>
        <v>3</v>
      </c>
    </row>
    <row r="34" spans="1:10" ht="12.75">
      <c r="A34" s="16" t="s">
        <v>80</v>
      </c>
      <c r="B34" s="16">
        <v>0.25</v>
      </c>
      <c r="C34" s="16" t="s">
        <v>81</v>
      </c>
      <c r="D34" s="16">
        <v>1500</v>
      </c>
      <c r="E34" s="16">
        <f>D34*B34</f>
        <v>375</v>
      </c>
      <c r="F34" s="16">
        <f>7900*B34</f>
        <v>1975</v>
      </c>
      <c r="G34" s="16">
        <f>79*B34</f>
        <v>19.75</v>
      </c>
      <c r="H34" s="16">
        <f>869*B34</f>
        <v>217.25</v>
      </c>
      <c r="I34" s="16">
        <f>474*B34</f>
        <v>118.5</v>
      </c>
      <c r="J34" s="16">
        <f>F34/E34</f>
        <v>5.266666666666667</v>
      </c>
    </row>
    <row r="35" spans="1:10" ht="12.75">
      <c r="A35" s="16" t="s">
        <v>82</v>
      </c>
      <c r="B35" s="16">
        <v>0.5</v>
      </c>
      <c r="C35" s="16" t="s">
        <v>79</v>
      </c>
      <c r="D35" s="16">
        <v>1000</v>
      </c>
      <c r="E35" s="16">
        <f>D35*B35</f>
        <v>500</v>
      </c>
      <c r="F35" s="16">
        <f>1667*B35</f>
        <v>833.5</v>
      </c>
      <c r="G35" s="16">
        <v>0</v>
      </c>
      <c r="H35" s="16">
        <f>400*B35</f>
        <v>200</v>
      </c>
      <c r="I35" s="16">
        <v>0</v>
      </c>
      <c r="J35" s="16">
        <f>F35/E35</f>
        <v>1.667</v>
      </c>
    </row>
    <row r="36" spans="1:10" ht="12.75">
      <c r="A36" s="16" t="s">
        <v>83</v>
      </c>
      <c r="B36" s="16">
        <v>0</v>
      </c>
      <c r="C36" s="16" t="s">
        <v>47</v>
      </c>
      <c r="D36" s="16">
        <v>1050</v>
      </c>
      <c r="E36" s="16">
        <f>D36*B36</f>
        <v>0</v>
      </c>
      <c r="F36" s="16">
        <f>3420*B36</f>
        <v>0</v>
      </c>
      <c r="G36" s="16">
        <f>60*B36</f>
        <v>0</v>
      </c>
      <c r="H36" s="16">
        <f>40*B36</f>
        <v>0</v>
      </c>
      <c r="I36" s="16">
        <f>342*B36</f>
        <v>0</v>
      </c>
      <c r="J36" s="16" t="e">
        <f>F36/E36</f>
        <v>#DIV/0!</v>
      </c>
    </row>
    <row r="37" spans="1:10" ht="12.75">
      <c r="A37" s="16" t="s">
        <v>84</v>
      </c>
      <c r="B37" s="16">
        <v>0</v>
      </c>
      <c r="C37" s="16" t="s">
        <v>85</v>
      </c>
      <c r="D37" s="16">
        <v>1238</v>
      </c>
      <c r="E37" s="16">
        <f>D37*B37</f>
        <v>0</v>
      </c>
      <c r="F37" s="16">
        <f>3362*B37</f>
        <v>0</v>
      </c>
      <c r="G37" s="16">
        <v>0</v>
      </c>
      <c r="H37" s="16">
        <f>864*B37</f>
        <v>0</v>
      </c>
      <c r="I37" s="16">
        <f>2.5*B37</f>
        <v>0</v>
      </c>
      <c r="J37" s="16" t="e">
        <f>F37/E37</f>
        <v>#DIV/0!</v>
      </c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7" t="s">
        <v>86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9" t="s">
        <v>87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 t="s">
        <v>88</v>
      </c>
      <c r="B42" s="16">
        <v>15</v>
      </c>
      <c r="C42" s="16" t="s">
        <v>89</v>
      </c>
      <c r="D42" s="16">
        <v>100</v>
      </c>
      <c r="E42" s="16">
        <f>D42*B42</f>
        <v>1500</v>
      </c>
      <c r="F42" s="16">
        <f>362*B42</f>
        <v>5430</v>
      </c>
      <c r="G42" s="16">
        <f>7.5*B42</f>
        <v>112.5</v>
      </c>
      <c r="H42" s="16">
        <f>76*B42</f>
        <v>1140</v>
      </c>
      <c r="I42" s="16">
        <f>2.7*B42</f>
        <v>40.5</v>
      </c>
      <c r="J42" s="16">
        <f>F42/E42</f>
        <v>3.62</v>
      </c>
    </row>
    <row r="43" spans="1:10" ht="12.75">
      <c r="A43" s="16" t="s">
        <v>90</v>
      </c>
      <c r="B43" s="16">
        <v>0</v>
      </c>
      <c r="C43" s="16" t="s">
        <v>89</v>
      </c>
      <c r="D43" s="16">
        <v>100</v>
      </c>
      <c r="E43" s="16">
        <f>D43*B43</f>
        <v>0</v>
      </c>
      <c r="F43" s="16">
        <f>362*B43</f>
        <v>0</v>
      </c>
      <c r="G43" s="16">
        <f>7.5*B43</f>
        <v>0</v>
      </c>
      <c r="H43" s="16">
        <f>76*B43</f>
        <v>0</v>
      </c>
      <c r="I43" s="16">
        <f>2.7*B43</f>
        <v>0</v>
      </c>
      <c r="J43" s="16" t="e">
        <f>F43/E43</f>
        <v>#DIV/0!</v>
      </c>
    </row>
    <row r="44" spans="1:10" ht="12.75">
      <c r="A44" s="16" t="s">
        <v>91</v>
      </c>
      <c r="B44" s="16">
        <v>9</v>
      </c>
      <c r="C44" s="16" t="s">
        <v>89</v>
      </c>
      <c r="D44" s="16">
        <v>90</v>
      </c>
      <c r="E44" s="16">
        <f>D44*B44</f>
        <v>810</v>
      </c>
      <c r="F44" s="16">
        <f>320*B44</f>
        <v>2880</v>
      </c>
      <c r="G44" s="16">
        <f>10*B44</f>
        <v>90</v>
      </c>
      <c r="H44" s="16">
        <f>70*B44</f>
        <v>630</v>
      </c>
      <c r="I44" s="16">
        <f>1*B44</f>
        <v>9</v>
      </c>
      <c r="J44" s="16">
        <f>F44/E44</f>
        <v>3.5555555555555554</v>
      </c>
    </row>
    <row r="45" spans="1:10" ht="12.75">
      <c r="A45" s="16" t="s">
        <v>92</v>
      </c>
      <c r="B45" s="16">
        <v>0</v>
      </c>
      <c r="C45" s="16" t="s">
        <v>47</v>
      </c>
      <c r="D45" s="16">
        <v>1000</v>
      </c>
      <c r="E45" s="16">
        <f>D45*B45</f>
        <v>0</v>
      </c>
      <c r="F45" s="16">
        <f>3480*B45</f>
        <v>0</v>
      </c>
      <c r="G45" s="16">
        <f>146*B45</f>
        <v>0</v>
      </c>
      <c r="H45" s="16">
        <f>750*B45</f>
        <v>0</v>
      </c>
      <c r="I45" s="16">
        <f>14*B45</f>
        <v>0</v>
      </c>
      <c r="J45" s="16" t="e">
        <f>F45/E45</f>
        <v>#DIV/0!</v>
      </c>
    </row>
    <row r="46" spans="1:10" ht="12.75">
      <c r="A46" s="16" t="s">
        <v>93</v>
      </c>
      <c r="B46" s="16">
        <v>0</v>
      </c>
      <c r="C46" s="16" t="s">
        <v>94</v>
      </c>
      <c r="D46" s="16">
        <v>225</v>
      </c>
      <c r="E46" s="16">
        <f>D46*B46</f>
        <v>0</v>
      </c>
      <c r="F46" s="16">
        <f>840*B46</f>
        <v>0</v>
      </c>
      <c r="G46" s="16">
        <f>28*B46</f>
        <v>0</v>
      </c>
      <c r="H46" s="16">
        <f>160*B46</f>
        <v>0</v>
      </c>
      <c r="I46" s="16">
        <f>8*B46</f>
        <v>0</v>
      </c>
      <c r="J46" s="16" t="e">
        <f>F46/E46</f>
        <v>#DIV/0!</v>
      </c>
    </row>
    <row r="47" spans="1:10" ht="12.75">
      <c r="A47" s="16" t="s">
        <v>95</v>
      </c>
      <c r="B47" s="16">
        <v>0</v>
      </c>
      <c r="C47" s="16" t="s">
        <v>47</v>
      </c>
      <c r="D47" s="16">
        <v>1000</v>
      </c>
      <c r="E47" s="16">
        <f>D47*B47</f>
        <v>0</v>
      </c>
      <c r="F47" s="16">
        <f>3480*B47</f>
        <v>0</v>
      </c>
      <c r="G47" s="16">
        <f>146*B47</f>
        <v>0</v>
      </c>
      <c r="H47" s="16">
        <f>750*B47</f>
        <v>0</v>
      </c>
      <c r="I47" s="16">
        <f>14*B47</f>
        <v>0</v>
      </c>
      <c r="J47" s="16" t="e">
        <f>F47/E47</f>
        <v>#DIV/0!</v>
      </c>
    </row>
    <row r="48" spans="1:10" ht="12.75">
      <c r="A48" s="16" t="s">
        <v>96</v>
      </c>
      <c r="B48" s="16">
        <v>0.5</v>
      </c>
      <c r="C48" s="16" t="s">
        <v>47</v>
      </c>
      <c r="D48" s="16">
        <v>1000</v>
      </c>
      <c r="E48" s="16">
        <f>D48*B48</f>
        <v>500</v>
      </c>
      <c r="F48" s="16">
        <f>3667*B48</f>
        <v>1833.5</v>
      </c>
      <c r="G48" s="16">
        <f>166.6*B48</f>
        <v>83.3</v>
      </c>
      <c r="H48" s="16">
        <f>700*B48</f>
        <v>350</v>
      </c>
      <c r="I48" s="16">
        <f>16.7*B48</f>
        <v>8.35</v>
      </c>
      <c r="J48" s="16">
        <f>F48/E48</f>
        <v>3.667</v>
      </c>
    </row>
    <row r="49" spans="1:10" ht="12.75">
      <c r="A49" s="16" t="s">
        <v>97</v>
      </c>
      <c r="B49" s="16">
        <v>0</v>
      </c>
      <c r="C49" s="16"/>
      <c r="D49" s="16"/>
      <c r="E49" s="16">
        <f>D49*B49</f>
        <v>0</v>
      </c>
      <c r="F49" s="16"/>
      <c r="G49" s="16"/>
      <c r="H49" s="16"/>
      <c r="I49" s="16"/>
      <c r="J49" s="16" t="e">
        <f>F49/E49</f>
        <v>#DIV/0!</v>
      </c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9" t="s">
        <v>98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 t="s">
        <v>99</v>
      </c>
      <c r="B52" s="16">
        <v>15</v>
      </c>
      <c r="C52" s="16" t="s">
        <v>89</v>
      </c>
      <c r="D52" s="16">
        <v>100</v>
      </c>
      <c r="E52" s="16">
        <f>D52*B52</f>
        <v>1500</v>
      </c>
      <c r="F52" s="16">
        <f>353*B52</f>
        <v>5295</v>
      </c>
      <c r="G52" s="16">
        <f>25.8*B52</f>
        <v>387</v>
      </c>
      <c r="H52" s="16">
        <f>60*B52</f>
        <v>900</v>
      </c>
      <c r="I52" s="16">
        <f>1*B52</f>
        <v>15</v>
      </c>
      <c r="J52" s="16">
        <f>F52/E52</f>
        <v>3.53</v>
      </c>
    </row>
    <row r="53" spans="1:10" ht="12.75">
      <c r="A53" s="16" t="s">
        <v>100</v>
      </c>
      <c r="B53" s="16">
        <v>16</v>
      </c>
      <c r="C53" s="16" t="s">
        <v>89</v>
      </c>
      <c r="D53" s="16">
        <v>100</v>
      </c>
      <c r="E53" s="16">
        <f>D53*B53</f>
        <v>1600</v>
      </c>
      <c r="F53" s="16">
        <f>360*B53</f>
        <v>5760</v>
      </c>
      <c r="G53" s="16">
        <f>30*B53</f>
        <v>480</v>
      </c>
      <c r="H53" s="16">
        <f>28*B53</f>
        <v>448</v>
      </c>
      <c r="I53" s="16">
        <f>1*B53</f>
        <v>16</v>
      </c>
      <c r="J53" s="16">
        <f>F53/E53</f>
        <v>3.6</v>
      </c>
    </row>
    <row r="54" spans="1:10" ht="12.75">
      <c r="A54" s="16"/>
      <c r="B54" s="16"/>
      <c r="C54" s="16"/>
      <c r="D54" s="16"/>
      <c r="E54" s="16">
        <f>D54*B54</f>
        <v>0</v>
      </c>
      <c r="F54" s="16"/>
      <c r="G54" s="16"/>
      <c r="H54" s="16"/>
      <c r="I54" s="16"/>
      <c r="J54" s="16"/>
    </row>
    <row r="55" spans="1:10" ht="12.75">
      <c r="A55" s="19" t="s">
        <v>101</v>
      </c>
      <c r="B55" s="16"/>
      <c r="C55" s="16"/>
      <c r="D55" s="16"/>
      <c r="E55" s="16">
        <f>D55*B55</f>
        <v>0</v>
      </c>
      <c r="F55" s="16"/>
      <c r="G55" s="16"/>
      <c r="H55" s="16"/>
      <c r="I55" s="16"/>
      <c r="J55" s="16"/>
    </row>
    <row r="56" spans="1:10" ht="12.75">
      <c r="A56" s="16" t="s">
        <v>102</v>
      </c>
      <c r="B56" s="16">
        <v>4</v>
      </c>
      <c r="C56" s="16" t="s">
        <v>89</v>
      </c>
      <c r="D56" s="16">
        <v>100</v>
      </c>
      <c r="E56" s="16">
        <f>D56*B56</f>
        <v>400</v>
      </c>
      <c r="F56" s="16">
        <f>379*B56</f>
        <v>1516</v>
      </c>
      <c r="G56" s="16">
        <f>13.15*B56</f>
        <v>52.6</v>
      </c>
      <c r="H56" s="16">
        <f>67.7*B56</f>
        <v>270.8</v>
      </c>
      <c r="I56" s="16">
        <f>6.5*B56</f>
        <v>26</v>
      </c>
      <c r="J56" s="16">
        <f>F56/E56</f>
        <v>3.79</v>
      </c>
    </row>
    <row r="57" spans="1:10" ht="12.75">
      <c r="A57" s="16" t="s">
        <v>103</v>
      </c>
      <c r="B57" s="16">
        <v>10</v>
      </c>
      <c r="C57" s="16" t="s">
        <v>89</v>
      </c>
      <c r="D57" s="16">
        <v>90</v>
      </c>
      <c r="E57" s="16">
        <f>D57*B57</f>
        <v>900</v>
      </c>
      <c r="F57" s="16">
        <f>400*B57</f>
        <v>4000</v>
      </c>
      <c r="G57" s="16">
        <f>10*B57</f>
        <v>100</v>
      </c>
      <c r="H57" s="16">
        <f>64*B57</f>
        <v>640</v>
      </c>
      <c r="I57" s="16">
        <f>12*B57</f>
        <v>120</v>
      </c>
      <c r="J57" s="16">
        <f>F57/E57</f>
        <v>4.444444444444445</v>
      </c>
    </row>
    <row r="58" spans="1:10" ht="12.75">
      <c r="A58" s="16"/>
      <c r="B58" s="16"/>
      <c r="C58" s="16"/>
      <c r="D58" s="16"/>
      <c r="E58" s="16">
        <f>D58*B58</f>
        <v>0</v>
      </c>
      <c r="F58" s="16"/>
      <c r="G58" s="16"/>
      <c r="H58" s="16"/>
      <c r="I58" s="16"/>
      <c r="J58" s="16"/>
    </row>
    <row r="59" spans="1:10" ht="12.75">
      <c r="A59" s="23" t="s">
        <v>104</v>
      </c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 t="s">
        <v>105</v>
      </c>
      <c r="B60" s="16">
        <v>13</v>
      </c>
      <c r="C60" s="16" t="s">
        <v>106</v>
      </c>
      <c r="D60" s="16">
        <v>75</v>
      </c>
      <c r="E60" s="16">
        <f>D60*B60</f>
        <v>975</v>
      </c>
      <c r="F60" s="16">
        <f>190*B60</f>
        <v>2470</v>
      </c>
      <c r="G60" s="16">
        <f>7*B60</f>
        <v>91</v>
      </c>
      <c r="H60" s="16">
        <f>36*B60</f>
        <v>468</v>
      </c>
      <c r="I60" s="16">
        <f>2*B60</f>
        <v>26</v>
      </c>
      <c r="J60" s="16">
        <f>F60/E60</f>
        <v>2.533333333333333</v>
      </c>
    </row>
    <row r="61" spans="1:10" ht="12.75">
      <c r="A61" s="16" t="s">
        <v>107</v>
      </c>
      <c r="B61" s="16">
        <v>20</v>
      </c>
      <c r="C61" s="16" t="s">
        <v>108</v>
      </c>
      <c r="D61" s="16">
        <v>57</v>
      </c>
      <c r="E61" s="16">
        <f>D61*B61</f>
        <v>1140</v>
      </c>
      <c r="F61" s="16">
        <f>150*B61</f>
        <v>3000</v>
      </c>
      <c r="G61" s="16">
        <f>6*B61</f>
        <v>120</v>
      </c>
      <c r="H61" s="16">
        <f>28*B61</f>
        <v>560</v>
      </c>
      <c r="I61" s="16">
        <f>2*B61</f>
        <v>40</v>
      </c>
      <c r="J61" s="16">
        <f>F61/E61</f>
        <v>2.6315789473684212</v>
      </c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9" t="s">
        <v>109</v>
      </c>
      <c r="B63" s="16"/>
      <c r="C63" s="16"/>
      <c r="D63" s="16"/>
      <c r="E63" s="16">
        <f>D63*B63</f>
        <v>0</v>
      </c>
      <c r="F63" s="16"/>
      <c r="G63" s="16"/>
      <c r="H63" s="16"/>
      <c r="I63" s="16"/>
      <c r="J63" s="16"/>
    </row>
    <row r="64" spans="1:10" ht="12.75">
      <c r="A64" s="16" t="s">
        <v>110</v>
      </c>
      <c r="B64" s="16">
        <v>0</v>
      </c>
      <c r="C64" s="16" t="s">
        <v>111</v>
      </c>
      <c r="D64" s="16">
        <v>22</v>
      </c>
      <c r="E64" s="16">
        <f>D64*B64</f>
        <v>0</v>
      </c>
      <c r="F64" s="16">
        <f>80*B64</f>
        <v>0</v>
      </c>
      <c r="G64" s="16">
        <f>2*B64</f>
        <v>0</v>
      </c>
      <c r="H64" s="16">
        <f>18*B64</f>
        <v>0</v>
      </c>
      <c r="I64" s="16">
        <v>0</v>
      </c>
      <c r="J64" s="16" t="e">
        <f>F64/E64</f>
        <v>#DIV/0!</v>
      </c>
    </row>
    <row r="65" spans="1:10" ht="12.75">
      <c r="A65" s="16" t="s">
        <v>112</v>
      </c>
      <c r="B65" s="16">
        <v>75</v>
      </c>
      <c r="C65" s="16" t="s">
        <v>113</v>
      </c>
      <c r="D65" s="16">
        <v>6</v>
      </c>
      <c r="E65" s="16">
        <f>D65*B65</f>
        <v>450</v>
      </c>
      <c r="F65" s="16">
        <f>35*B65</f>
        <v>2625</v>
      </c>
      <c r="G65" s="16">
        <f>3*B65</f>
        <v>225</v>
      </c>
      <c r="H65" s="16">
        <f>0.5*B65</f>
        <v>37.5</v>
      </c>
      <c r="I65" s="16">
        <f>2.5*B65</f>
        <v>187.5</v>
      </c>
      <c r="J65" s="16">
        <f>F65/E65</f>
        <v>5.833333333333333</v>
      </c>
    </row>
    <row r="66" spans="1:10" ht="12.75">
      <c r="A66" s="16" t="s">
        <v>114</v>
      </c>
      <c r="B66" s="16">
        <v>1</v>
      </c>
      <c r="C66" s="16" t="s">
        <v>47</v>
      </c>
      <c r="D66" s="16">
        <v>1000</v>
      </c>
      <c r="E66" s="16">
        <f>D66*B66</f>
        <v>1000</v>
      </c>
      <c r="F66" s="16">
        <f>3800*B66</f>
        <v>3800</v>
      </c>
      <c r="G66" s="16">
        <v>0</v>
      </c>
      <c r="H66" s="16">
        <f>980*B66</f>
        <v>980</v>
      </c>
      <c r="I66" s="16">
        <v>0</v>
      </c>
      <c r="J66" s="16">
        <f>F66/E66</f>
        <v>3.8</v>
      </c>
    </row>
    <row r="67" spans="1:10" ht="12.75">
      <c r="A67" s="16" t="s">
        <v>115</v>
      </c>
      <c r="B67" s="16">
        <v>1</v>
      </c>
      <c r="C67" s="16" t="s">
        <v>116</v>
      </c>
      <c r="D67" s="16">
        <v>450</v>
      </c>
      <c r="E67" s="16">
        <f>D67*B67</f>
        <v>450</v>
      </c>
      <c r="F67" s="16">
        <f>900*B67</f>
        <v>900</v>
      </c>
      <c r="G67" s="16">
        <v>0</v>
      </c>
      <c r="H67" s="16">
        <f>180*B67</f>
        <v>180</v>
      </c>
      <c r="I67" s="16">
        <v>0</v>
      </c>
      <c r="J67" s="16">
        <f>F67/E67</f>
        <v>2</v>
      </c>
    </row>
    <row r="68" spans="1:10" ht="12.75">
      <c r="A68" s="16" t="s">
        <v>117</v>
      </c>
      <c r="B68" s="16">
        <v>3</v>
      </c>
      <c r="C68" s="16" t="s">
        <v>118</v>
      </c>
      <c r="D68" s="16">
        <v>170</v>
      </c>
      <c r="E68" s="16">
        <f>D68*B68</f>
        <v>510</v>
      </c>
      <c r="F68" s="16">
        <f>1190*B68</f>
        <v>3570</v>
      </c>
      <c r="G68" s="16">
        <f>13.6*B68</f>
        <v>40.8</v>
      </c>
      <c r="H68" s="16">
        <f>13.6*B68</f>
        <v>40.8</v>
      </c>
      <c r="I68" s="16">
        <f>115.6*B68</f>
        <v>346.79999999999995</v>
      </c>
      <c r="J68" s="16">
        <f>F68/E68</f>
        <v>7</v>
      </c>
    </row>
    <row r="69" spans="1:10" ht="12.75">
      <c r="A69" s="16" t="s">
        <v>119</v>
      </c>
      <c r="B69" s="16">
        <v>8</v>
      </c>
      <c r="C69" s="16" t="s">
        <v>120</v>
      </c>
      <c r="D69" s="16">
        <v>50</v>
      </c>
      <c r="E69" s="16">
        <f>D69*B69</f>
        <v>400</v>
      </c>
      <c r="F69" s="16">
        <f>164*B69</f>
        <v>1312</v>
      </c>
      <c r="G69" s="16">
        <f>4.3*B69</f>
        <v>34.4</v>
      </c>
      <c r="H69" s="16">
        <f>37.2*B69</f>
        <v>297.6</v>
      </c>
      <c r="I69" s="16">
        <f>0.2*B69</f>
        <v>1.6</v>
      </c>
      <c r="J69" s="16">
        <f>F69/E69</f>
        <v>3.28</v>
      </c>
    </row>
    <row r="70" spans="1:10" ht="12.75">
      <c r="A70" s="16" t="s">
        <v>121</v>
      </c>
      <c r="B70" s="16">
        <v>1</v>
      </c>
      <c r="C70" s="16" t="s">
        <v>122</v>
      </c>
      <c r="D70" s="16">
        <v>600</v>
      </c>
      <c r="E70" s="16">
        <f>D70*B70</f>
        <v>600</v>
      </c>
      <c r="F70" s="16">
        <f>2200*B70</f>
        <v>2200</v>
      </c>
      <c r="G70" s="16">
        <f>500*B70</f>
        <v>500</v>
      </c>
      <c r="H70" s="16">
        <v>0</v>
      </c>
      <c r="I70" s="16">
        <f>20*B70</f>
        <v>20</v>
      </c>
      <c r="J70" s="16">
        <f>F70/E70</f>
        <v>3.6666666666666665</v>
      </c>
    </row>
    <row r="71" spans="1:10" ht="12.75">
      <c r="A71" s="16" t="s">
        <v>123</v>
      </c>
      <c r="B71" s="16">
        <v>4</v>
      </c>
      <c r="C71" s="16" t="s">
        <v>124</v>
      </c>
      <c r="D71" s="16">
        <v>30</v>
      </c>
      <c r="E71" s="16">
        <f>D71*B71</f>
        <v>120</v>
      </c>
      <c r="F71" s="16">
        <f>128*B71</f>
        <v>512</v>
      </c>
      <c r="G71" s="16">
        <f>13*B71</f>
        <v>52</v>
      </c>
      <c r="H71" s="16">
        <f>8*B71</f>
        <v>32</v>
      </c>
      <c r="I71" s="16">
        <f>5*B71</f>
        <v>20</v>
      </c>
      <c r="J71" s="16">
        <f>F71/E71</f>
        <v>4.266666666666667</v>
      </c>
    </row>
    <row r="72" spans="1:10" ht="12.75">
      <c r="A72" s="16" t="s">
        <v>125</v>
      </c>
      <c r="B72" s="16">
        <v>3</v>
      </c>
      <c r="C72" s="16" t="s">
        <v>89</v>
      </c>
      <c r="D72" s="16">
        <v>100</v>
      </c>
      <c r="E72" s="16">
        <f>D72*B72</f>
        <v>300</v>
      </c>
      <c r="F72" s="16">
        <f>240*B72</f>
        <v>720</v>
      </c>
      <c r="G72" s="16">
        <f>45*B72</f>
        <v>135</v>
      </c>
      <c r="H72" s="16">
        <f>27*B72</f>
        <v>81</v>
      </c>
      <c r="I72" s="16">
        <v>0</v>
      </c>
      <c r="J72" s="16">
        <f>F72/E72</f>
        <v>2.4</v>
      </c>
    </row>
    <row r="73" spans="1:10" ht="12.7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.75">
      <c r="A74" s="17" t="s">
        <v>126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 t="s">
        <v>127</v>
      </c>
      <c r="B75" s="16">
        <v>0</v>
      </c>
      <c r="C75" s="16"/>
      <c r="D75" s="16"/>
      <c r="E75" s="16">
        <f>D75*B75</f>
        <v>0</v>
      </c>
      <c r="F75" s="16"/>
      <c r="G75" s="16"/>
      <c r="H75" s="16"/>
      <c r="I75" s="16"/>
      <c r="J75" s="16" t="e">
        <f>F75/E75</f>
        <v>#DIV/0!</v>
      </c>
    </row>
    <row r="76" spans="1:10" ht="12.75">
      <c r="A76" s="16" t="s">
        <v>128</v>
      </c>
      <c r="B76" s="16">
        <v>0</v>
      </c>
      <c r="C76" s="16"/>
      <c r="D76" s="16"/>
      <c r="E76" s="16">
        <f>D76*B76</f>
        <v>0</v>
      </c>
      <c r="F76" s="16"/>
      <c r="G76" s="16"/>
      <c r="H76" s="16"/>
      <c r="I76" s="16"/>
      <c r="J76" s="16" t="e">
        <f>F76/E76</f>
        <v>#DIV/0!</v>
      </c>
    </row>
    <row r="77" spans="1:10" ht="12.75">
      <c r="A77" s="16" t="s">
        <v>129</v>
      </c>
      <c r="B77" s="16">
        <v>0</v>
      </c>
      <c r="C77" s="16"/>
      <c r="D77" s="16"/>
      <c r="E77" s="16">
        <f>D77*B77</f>
        <v>0</v>
      </c>
      <c r="F77" s="16"/>
      <c r="G77" s="16"/>
      <c r="H77" s="16"/>
      <c r="I77" s="16"/>
      <c r="J77" s="16" t="e">
        <f>F77/E77</f>
        <v>#DIV/0!</v>
      </c>
    </row>
    <row r="78" spans="1:10" ht="12.75">
      <c r="A78" s="16" t="s">
        <v>130</v>
      </c>
      <c r="B78" s="16">
        <v>0</v>
      </c>
      <c r="C78" s="16"/>
      <c r="D78" s="16"/>
      <c r="E78" s="16">
        <f>D78*B78</f>
        <v>0</v>
      </c>
      <c r="F78" s="16"/>
      <c r="G78" s="16"/>
      <c r="H78" s="16"/>
      <c r="I78" s="16"/>
      <c r="J78" s="16" t="e">
        <f>F78/E78</f>
        <v>#DIV/0!</v>
      </c>
    </row>
    <row r="79" spans="1:10" ht="12.75">
      <c r="A79" s="16" t="s">
        <v>131</v>
      </c>
      <c r="B79" s="16">
        <v>1</v>
      </c>
      <c r="C79" s="16" t="s">
        <v>132</v>
      </c>
      <c r="D79" s="16">
        <v>100</v>
      </c>
      <c r="E79" s="16">
        <f>D79*B79</f>
        <v>100</v>
      </c>
      <c r="F79" s="16">
        <f>448*B79</f>
        <v>448</v>
      </c>
      <c r="G79" s="16">
        <f>22.7*B79</f>
        <v>22.7</v>
      </c>
      <c r="H79" s="16">
        <f>33.7*B79</f>
        <v>33.7</v>
      </c>
      <c r="I79" s="16">
        <f>25.4*B79</f>
        <v>25.4</v>
      </c>
      <c r="J79" s="16">
        <f>F79/E79</f>
        <v>4.48</v>
      </c>
    </row>
    <row r="80" spans="1:10" ht="12.75">
      <c r="A80" s="16" t="s">
        <v>133</v>
      </c>
      <c r="B80" s="16">
        <v>0</v>
      </c>
      <c r="C80" s="16"/>
      <c r="D80" s="16"/>
      <c r="E80" s="16">
        <f>D80*B80</f>
        <v>0</v>
      </c>
      <c r="F80" s="16"/>
      <c r="G80" s="16"/>
      <c r="H80" s="16"/>
      <c r="I80" s="16"/>
      <c r="J80" s="16" t="e">
        <f>F80/E80</f>
        <v>#DIV/0!</v>
      </c>
    </row>
    <row r="81" spans="1:10" ht="12.75">
      <c r="A81" s="16" t="s">
        <v>134</v>
      </c>
      <c r="B81" s="16">
        <v>4</v>
      </c>
      <c r="C81" s="16"/>
      <c r="D81" s="16"/>
      <c r="E81" s="16">
        <f>D81*B81</f>
        <v>0</v>
      </c>
      <c r="F81" s="16"/>
      <c r="G81" s="16"/>
      <c r="H81" s="16"/>
      <c r="I81" s="16"/>
      <c r="J81" s="16" t="e">
        <f>F81/E81</f>
        <v>#DIV/0!</v>
      </c>
    </row>
    <row r="82" spans="1:10" ht="12.75">
      <c r="A82" s="16" t="s">
        <v>135</v>
      </c>
      <c r="B82" s="16">
        <v>6</v>
      </c>
      <c r="C82" s="16"/>
      <c r="D82" s="16"/>
      <c r="E82" s="16">
        <f>D82*B82</f>
        <v>0</v>
      </c>
      <c r="F82" s="16"/>
      <c r="G82" s="16"/>
      <c r="H82" s="16"/>
      <c r="I82" s="16"/>
      <c r="J82" s="16" t="e">
        <f>F82/E82</f>
        <v>#DIV/0!</v>
      </c>
    </row>
    <row r="83" spans="1:10" ht="12.75">
      <c r="A83" s="16" t="s">
        <v>136</v>
      </c>
      <c r="B83" s="16">
        <v>1</v>
      </c>
      <c r="C83" s="16" t="s">
        <v>137</v>
      </c>
      <c r="D83" s="16">
        <v>340</v>
      </c>
      <c r="E83" s="16">
        <f>D83*B83</f>
        <v>340</v>
      </c>
      <c r="F83" s="16">
        <f>1133*B83</f>
        <v>1133</v>
      </c>
      <c r="G83" s="16">
        <f>22.7*B83</f>
        <v>22.7</v>
      </c>
      <c r="H83" s="16">
        <f>227*B83</f>
        <v>227</v>
      </c>
      <c r="I83" s="16">
        <v>0</v>
      </c>
      <c r="J83" s="16">
        <f>F83/E83</f>
        <v>3.3323529411764707</v>
      </c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7" t="s">
        <v>138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19" t="s">
        <v>139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6" t="s">
        <v>140</v>
      </c>
      <c r="B88" s="16">
        <v>2</v>
      </c>
      <c r="C88" s="16" t="s">
        <v>132</v>
      </c>
      <c r="D88" s="16">
        <v>100</v>
      </c>
      <c r="E88" s="16">
        <f>D88*B88</f>
        <v>200</v>
      </c>
      <c r="F88" s="16">
        <f>400*B88</f>
        <v>800</v>
      </c>
      <c r="G88" s="16">
        <v>0</v>
      </c>
      <c r="H88" s="16">
        <f>80*B88</f>
        <v>160</v>
      </c>
      <c r="I88" s="16">
        <v>0</v>
      </c>
      <c r="J88" s="16">
        <f>F88/E88</f>
        <v>4</v>
      </c>
    </row>
    <row r="89" spans="1:10" ht="12.75">
      <c r="A89" s="16" t="s">
        <v>141</v>
      </c>
      <c r="B89" s="16">
        <v>1</v>
      </c>
      <c r="C89" s="16" t="s">
        <v>132</v>
      </c>
      <c r="D89" s="16">
        <v>100</v>
      </c>
      <c r="E89" s="16">
        <f>D89*B89</f>
        <v>100</v>
      </c>
      <c r="F89" s="16">
        <f>410*B89</f>
        <v>410</v>
      </c>
      <c r="G89" s="16">
        <v>0</v>
      </c>
      <c r="H89" s="16">
        <f>90*B89</f>
        <v>90</v>
      </c>
      <c r="I89" s="16">
        <v>0</v>
      </c>
      <c r="J89" s="16">
        <f>F89/E89</f>
        <v>4.1</v>
      </c>
    </row>
    <row r="90" spans="1:10" ht="12.75">
      <c r="A90" s="16" t="s">
        <v>142</v>
      </c>
      <c r="B90" s="16">
        <v>1</v>
      </c>
      <c r="C90" s="16" t="s">
        <v>132</v>
      </c>
      <c r="D90" s="16">
        <v>100</v>
      </c>
      <c r="E90" s="16">
        <f>D90*B90</f>
        <v>100</v>
      </c>
      <c r="F90" s="16">
        <f>340*B90</f>
        <v>340</v>
      </c>
      <c r="G90" s="16">
        <v>0</v>
      </c>
      <c r="H90" s="16">
        <f>94*B90</f>
        <v>94</v>
      </c>
      <c r="I90" s="16">
        <v>0</v>
      </c>
      <c r="J90" s="16">
        <f>F90/E90</f>
        <v>3.4</v>
      </c>
    </row>
    <row r="91" spans="1:10" ht="12.75">
      <c r="A91" s="16" t="s">
        <v>143</v>
      </c>
      <c r="B91" s="16">
        <v>0</v>
      </c>
      <c r="C91" s="16" t="s">
        <v>47</v>
      </c>
      <c r="D91" s="16">
        <v>1000</v>
      </c>
      <c r="E91" s="16">
        <f>D91*B91</f>
        <v>0</v>
      </c>
      <c r="F91" s="16">
        <f>2820*B91</f>
        <v>0</v>
      </c>
      <c r="G91" s="16">
        <f>24*B91</f>
        <v>0</v>
      </c>
      <c r="H91" s="16">
        <f>750*B91</f>
        <v>0</v>
      </c>
      <c r="I91" s="16">
        <f>4*B91</f>
        <v>0</v>
      </c>
      <c r="J91" s="16" t="e">
        <f>F91/E91</f>
        <v>#DIV/0!</v>
      </c>
    </row>
    <row r="92" spans="1:10" ht="12.75">
      <c r="A92" s="16" t="s">
        <v>144</v>
      </c>
      <c r="B92" s="16">
        <v>0</v>
      </c>
      <c r="C92" s="16" t="s">
        <v>47</v>
      </c>
      <c r="D92" s="16">
        <v>1000</v>
      </c>
      <c r="E92" s="16">
        <f>D92*B92</f>
        <v>0</v>
      </c>
      <c r="F92" s="16">
        <f>2820*B92</f>
        <v>0</v>
      </c>
      <c r="G92" s="16">
        <f>24*B92</f>
        <v>0</v>
      </c>
      <c r="H92" s="16">
        <f>750*B92</f>
        <v>0</v>
      </c>
      <c r="I92" s="16">
        <f>4*B92</f>
        <v>0</v>
      </c>
      <c r="J92" s="16" t="e">
        <f>F92/E92</f>
        <v>#DIV/0!</v>
      </c>
    </row>
    <row r="93" spans="1:10" ht="12.75">
      <c r="A93" s="16" t="s">
        <v>145</v>
      </c>
      <c r="B93" s="16">
        <v>0</v>
      </c>
      <c r="C93" s="16" t="s">
        <v>146</v>
      </c>
      <c r="D93" s="16">
        <v>1360</v>
      </c>
      <c r="E93" s="16">
        <f>D93*B93</f>
        <v>0</v>
      </c>
      <c r="F93" s="16">
        <f>4420*B93</f>
        <v>0</v>
      </c>
      <c r="G93" s="16">
        <v>0</v>
      </c>
      <c r="H93" s="16">
        <f>1122*B93</f>
        <v>0</v>
      </c>
      <c r="I93" s="16">
        <v>0</v>
      </c>
      <c r="J93" s="16" t="e">
        <f>F93/E93</f>
        <v>#DIV/0!</v>
      </c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31" t="s">
        <v>147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16" t="s">
        <v>148</v>
      </c>
      <c r="B97" s="16">
        <v>0</v>
      </c>
      <c r="C97" s="16" t="s">
        <v>132</v>
      </c>
      <c r="D97" s="16">
        <v>100</v>
      </c>
      <c r="E97" s="16">
        <f>D97*B97</f>
        <v>0</v>
      </c>
      <c r="F97" s="16">
        <f>350*B97</f>
        <v>0</v>
      </c>
      <c r="G97" s="16">
        <v>0</v>
      </c>
      <c r="H97" s="16">
        <f>90*B97</f>
        <v>0</v>
      </c>
      <c r="I97" s="16">
        <v>0</v>
      </c>
      <c r="J97" s="16" t="e">
        <f>F97/E97</f>
        <v>#DIV/0!</v>
      </c>
    </row>
    <row r="98" spans="1:10" ht="12.75">
      <c r="A98" s="16" t="s">
        <v>149</v>
      </c>
      <c r="B98" s="16">
        <v>0</v>
      </c>
      <c r="C98" s="16" t="s">
        <v>132</v>
      </c>
      <c r="D98" s="16">
        <v>100</v>
      </c>
      <c r="E98" s="16">
        <f>D98*B98</f>
        <v>0</v>
      </c>
      <c r="F98" s="16">
        <f>350*B98</f>
        <v>0</v>
      </c>
      <c r="G98" s="16">
        <v>0</v>
      </c>
      <c r="H98" s="16">
        <f>90*B98</f>
        <v>0</v>
      </c>
      <c r="I98" s="16">
        <v>0</v>
      </c>
      <c r="J98" s="16" t="e">
        <f>F98/E98</f>
        <v>#DIV/0!</v>
      </c>
    </row>
    <row r="99" spans="1:10" ht="12.75">
      <c r="A99" s="16" t="s">
        <v>150</v>
      </c>
      <c r="B99" s="16">
        <v>0</v>
      </c>
      <c r="C99" s="16" t="s">
        <v>132</v>
      </c>
      <c r="D99" s="16">
        <v>100</v>
      </c>
      <c r="E99" s="16">
        <f>D99*B99</f>
        <v>0</v>
      </c>
      <c r="F99" s="16">
        <f>350*B99</f>
        <v>0</v>
      </c>
      <c r="G99" s="16">
        <v>0</v>
      </c>
      <c r="H99" s="16">
        <f>90*B99</f>
        <v>0</v>
      </c>
      <c r="I99" s="16">
        <v>0</v>
      </c>
      <c r="J99" s="16" t="e">
        <f>F99/E99</f>
        <v>#DIV/0!</v>
      </c>
    </row>
    <row r="100" spans="1:10" ht="12.75">
      <c r="A100" s="16" t="s">
        <v>151</v>
      </c>
      <c r="B100" s="16">
        <v>0</v>
      </c>
      <c r="C100" s="16" t="s">
        <v>152</v>
      </c>
      <c r="D100" s="16">
        <v>110</v>
      </c>
      <c r="E100" s="16">
        <f>(D100-85)*B100</f>
        <v>0</v>
      </c>
      <c r="F100" s="16">
        <f>44*B100</f>
        <v>0</v>
      </c>
      <c r="G100" s="16">
        <f>1.2*B100</f>
        <v>0</v>
      </c>
      <c r="H100" s="16">
        <f>10.8*B100</f>
        <v>0</v>
      </c>
      <c r="I100" s="16">
        <v>0</v>
      </c>
      <c r="J100" s="16" t="e">
        <f>F100/E100</f>
        <v>#DIV/0!</v>
      </c>
    </row>
    <row r="101" spans="1:10" ht="12.75">
      <c r="A101" s="16" t="s">
        <v>153</v>
      </c>
      <c r="B101" s="16">
        <v>0</v>
      </c>
      <c r="C101" s="16" t="s">
        <v>132</v>
      </c>
      <c r="D101" s="16">
        <v>100</v>
      </c>
      <c r="E101" s="16">
        <f>D101*B101</f>
        <v>0</v>
      </c>
      <c r="F101" s="16">
        <f>350*B101</f>
        <v>0</v>
      </c>
      <c r="G101" s="16">
        <v>0</v>
      </c>
      <c r="H101" s="16">
        <f>90*B101</f>
        <v>0</v>
      </c>
      <c r="I101" s="16">
        <v>0</v>
      </c>
      <c r="J101" s="16" t="e">
        <f>F101/E101</f>
        <v>#DIV/0!</v>
      </c>
    </row>
    <row r="102" spans="5:10" ht="12.75">
      <c r="E102" s="16">
        <f>D102*B102</f>
        <v>0</v>
      </c>
      <c r="J102" s="16"/>
    </row>
    <row r="103" spans="1:10" ht="12.75">
      <c r="A103" s="17" t="s">
        <v>154</v>
      </c>
      <c r="E103" s="16"/>
      <c r="J103" s="16"/>
    </row>
    <row r="104" spans="1:10" ht="12.75">
      <c r="A104" s="25" t="s">
        <v>155</v>
      </c>
      <c r="B104" s="10">
        <v>0.1</v>
      </c>
      <c r="C104" s="10" t="s">
        <v>156</v>
      </c>
      <c r="D104" s="10">
        <v>1360</v>
      </c>
      <c r="E104" s="16">
        <f>D104*B104</f>
        <v>136</v>
      </c>
      <c r="F104" s="10">
        <f>7888*B104</f>
        <v>788.8000000000001</v>
      </c>
      <c r="G104" s="10">
        <f>299*B104</f>
        <v>29.900000000000002</v>
      </c>
      <c r="H104" s="10">
        <f>272*B104</f>
        <v>27.200000000000003</v>
      </c>
      <c r="I104" s="10">
        <f>680*B104</f>
        <v>68</v>
      </c>
      <c r="J104" s="16">
        <f>F104/E104</f>
        <v>5.800000000000001</v>
      </c>
    </row>
    <row r="105" spans="1:10" ht="12.75">
      <c r="A105" s="25" t="s">
        <v>157</v>
      </c>
      <c r="B105" s="10">
        <v>0.15</v>
      </c>
      <c r="C105" s="10" t="s">
        <v>158</v>
      </c>
      <c r="D105" s="10">
        <v>1360</v>
      </c>
      <c r="E105" s="16">
        <f>D105*B105</f>
        <v>204</v>
      </c>
      <c r="F105" s="10">
        <f>8894*B105</f>
        <v>1334.1</v>
      </c>
      <c r="G105" s="10">
        <f>207*B105</f>
        <v>31.049999999999997</v>
      </c>
      <c r="H105" s="10">
        <f>187*B105</f>
        <v>28.05</v>
      </c>
      <c r="I105" s="10">
        <f>887*B105</f>
        <v>133.04999999999998</v>
      </c>
      <c r="J105" s="16">
        <f>F105/E105</f>
        <v>6.539705882352941</v>
      </c>
    </row>
    <row r="106" spans="1:10" ht="12.75">
      <c r="A106" s="25" t="s">
        <v>159</v>
      </c>
      <c r="B106" s="10">
        <v>1.5</v>
      </c>
      <c r="C106" s="10" t="s">
        <v>67</v>
      </c>
      <c r="D106" s="10">
        <v>454</v>
      </c>
      <c r="E106" s="16">
        <f>D106*B106</f>
        <v>681</v>
      </c>
      <c r="F106" s="10">
        <f>2400*B106</f>
        <v>3600</v>
      </c>
      <c r="G106" s="10">
        <f>120*B106</f>
        <v>180</v>
      </c>
      <c r="H106" s="10">
        <f>120*B106</f>
        <v>180</v>
      </c>
      <c r="I106" s="10">
        <f>180*B106</f>
        <v>270</v>
      </c>
      <c r="J106" s="16">
        <f>F106/E106</f>
        <v>5.286343612334802</v>
      </c>
    </row>
    <row r="107" spans="1:10" ht="12.75">
      <c r="A107" s="25"/>
      <c r="E107" s="16"/>
      <c r="J107" s="16"/>
    </row>
    <row r="108" spans="1:10" ht="12.75">
      <c r="A108" s="26" t="s">
        <v>160</v>
      </c>
      <c r="E108" s="16"/>
      <c r="J108" s="16"/>
    </row>
    <row r="109" spans="5:10" ht="12.75">
      <c r="E109" s="16"/>
      <c r="J109" s="16"/>
    </row>
    <row r="110" spans="1:10" ht="12.75">
      <c r="A110" s="10" t="s">
        <v>161</v>
      </c>
      <c r="B110" s="10">
        <v>1</v>
      </c>
      <c r="C110" s="10" t="s">
        <v>162</v>
      </c>
      <c r="D110" s="10">
        <v>2400</v>
      </c>
      <c r="E110" s="16">
        <f>D110*B110</f>
        <v>2400</v>
      </c>
      <c r="F110" s="10">
        <f>17000*B110</f>
        <v>17000</v>
      </c>
      <c r="G110" s="10">
        <f>286*B110</f>
        <v>286</v>
      </c>
      <c r="H110" s="28">
        <f>1873*B110</f>
        <v>1873</v>
      </c>
      <c r="I110" s="10">
        <f>1000*B110</f>
        <v>1000</v>
      </c>
      <c r="J110" s="16">
        <f>F110/E110</f>
        <v>7.083333333333333</v>
      </c>
    </row>
    <row r="111" ht="12.75">
      <c r="E111" s="16"/>
    </row>
    <row r="112" spans="1:5" ht="12.75">
      <c r="A112" s="29" t="s">
        <v>163</v>
      </c>
      <c r="E112" s="16"/>
    </row>
    <row r="113" spans="1:10" ht="12.75">
      <c r="A113" s="10" t="s">
        <v>164</v>
      </c>
      <c r="B113" s="10">
        <v>0</v>
      </c>
      <c r="C113" s="10" t="s">
        <v>158</v>
      </c>
      <c r="D113" s="10">
        <v>943</v>
      </c>
      <c r="E113" s="16">
        <f>D113*B113</f>
        <v>0</v>
      </c>
      <c r="F113" s="10">
        <f>4600*B113</f>
        <v>0</v>
      </c>
      <c r="G113" s="10">
        <f>46*B113</f>
        <v>0</v>
      </c>
      <c r="H113" s="10">
        <f>644*B113</f>
        <v>0</v>
      </c>
      <c r="I113" s="10">
        <f>207*B113</f>
        <v>0</v>
      </c>
      <c r="J113" s="10" t="e">
        <f>F113/E113</f>
        <v>#DIV/0!</v>
      </c>
    </row>
    <row r="114" spans="1:10" ht="12.75">
      <c r="A114" s="10" t="s">
        <v>165</v>
      </c>
      <c r="B114" s="10">
        <v>6</v>
      </c>
      <c r="C114" s="10" t="s">
        <v>160</v>
      </c>
      <c r="D114" s="10">
        <v>58</v>
      </c>
      <c r="E114" s="16">
        <f>D114*B114</f>
        <v>348</v>
      </c>
      <c r="F114" s="10">
        <f>275*B114</f>
        <v>1650</v>
      </c>
      <c r="G114" s="10">
        <f>3*B114</f>
        <v>18</v>
      </c>
      <c r="H114" s="10">
        <f>39*B114</f>
        <v>234</v>
      </c>
      <c r="I114" s="10">
        <f>12*B114</f>
        <v>72</v>
      </c>
      <c r="J114" s="10">
        <f>F114/E114</f>
        <v>4.741379310344827</v>
      </c>
    </row>
    <row r="115" spans="1:10" ht="12.75">
      <c r="A115" s="10" t="s">
        <v>166</v>
      </c>
      <c r="B115" s="10">
        <v>1.5</v>
      </c>
      <c r="C115" s="10" t="s">
        <v>160</v>
      </c>
      <c r="D115" s="10">
        <v>300</v>
      </c>
      <c r="E115" s="16">
        <f>D115*B115</f>
        <v>450</v>
      </c>
      <c r="F115" s="10">
        <f>1760*B115</f>
        <v>2640</v>
      </c>
      <c r="G115" s="10">
        <f>32*B115</f>
        <v>48</v>
      </c>
      <c r="H115" s="10">
        <f>144*B115</f>
        <v>216</v>
      </c>
      <c r="I115" s="10">
        <f>120*B115</f>
        <v>180</v>
      </c>
      <c r="J115" s="10">
        <f>F115/E115</f>
        <v>5.866666666666666</v>
      </c>
    </row>
    <row r="116" spans="1:10" ht="12.75">
      <c r="A116" s="10" t="s">
        <v>167</v>
      </c>
      <c r="B116" s="10">
        <v>0</v>
      </c>
      <c r="C116" s="10" t="s">
        <v>89</v>
      </c>
      <c r="D116" s="10">
        <v>100</v>
      </c>
      <c r="E116" s="16">
        <f>D116*B116</f>
        <v>0</v>
      </c>
      <c r="F116" s="10">
        <f>470*B116</f>
        <v>0</v>
      </c>
      <c r="G116" s="10">
        <f>6.7*B116</f>
        <v>0</v>
      </c>
      <c r="H116" s="10">
        <f>67*B116</f>
        <v>0</v>
      </c>
      <c r="I116" s="10">
        <f>26.8*B116</f>
        <v>0</v>
      </c>
      <c r="J116" s="10" t="e">
        <f>F116/E116</f>
        <v>#DIV/0!</v>
      </c>
    </row>
    <row r="117" spans="1:10" ht="12.75">
      <c r="A117" s="10" t="s">
        <v>168</v>
      </c>
      <c r="B117" s="10">
        <v>0</v>
      </c>
      <c r="C117" s="10" t="s">
        <v>156</v>
      </c>
      <c r="D117" s="10">
        <v>2500</v>
      </c>
      <c r="E117" s="16">
        <f>D117*B117</f>
        <v>0</v>
      </c>
      <c r="F117" s="10">
        <f>8536*B117</f>
        <v>0</v>
      </c>
      <c r="G117" s="10">
        <v>0</v>
      </c>
      <c r="H117" s="10">
        <f>2134*B117</f>
        <v>0</v>
      </c>
      <c r="I117" s="10">
        <v>0</v>
      </c>
      <c r="J117" s="10" t="e">
        <f>F117/E117</f>
        <v>#DIV/0!</v>
      </c>
    </row>
    <row r="118" spans="1:10" ht="12.75">
      <c r="A118" s="10" t="s">
        <v>169</v>
      </c>
      <c r="B118" s="10">
        <v>2</v>
      </c>
      <c r="C118" s="10" t="s">
        <v>160</v>
      </c>
      <c r="D118" s="10">
        <v>68</v>
      </c>
      <c r="E118" s="16">
        <f>D118*B118</f>
        <v>136</v>
      </c>
      <c r="F118" s="10">
        <f>250*B118</f>
        <v>500</v>
      </c>
      <c r="G118" s="10">
        <f>10*B118</f>
        <v>20</v>
      </c>
      <c r="H118" s="10">
        <f>44*B118</f>
        <v>88</v>
      </c>
      <c r="I118" s="10">
        <f>5*B118</f>
        <v>10</v>
      </c>
      <c r="J118" s="10">
        <f>F118/E118</f>
        <v>3.676470588235294</v>
      </c>
    </row>
    <row r="119" spans="1:5" ht="12.75">
      <c r="A119" s="10" t="s">
        <v>170</v>
      </c>
      <c r="B119" s="10">
        <v>0.5</v>
      </c>
      <c r="C119" s="10" t="s">
        <v>171</v>
      </c>
      <c r="D119" s="10">
        <v>750</v>
      </c>
      <c r="E119" s="16">
        <v>750</v>
      </c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G6" sqref="G6"/>
    </sheetView>
  </sheetViews>
  <sheetFormatPr defaultColWidth="12.57421875" defaultRowHeight="12.75"/>
  <cols>
    <col min="1" max="3" width="11.57421875" style="0" customWidth="1"/>
    <col min="4" max="4" width="19.7109375" style="0" customWidth="1"/>
    <col min="5" max="16384" width="11.57421875" style="0" customWidth="1"/>
  </cols>
  <sheetData>
    <row r="1" spans="1:7" ht="12.75">
      <c r="A1" t="s">
        <v>6</v>
      </c>
      <c r="B1" s="5">
        <f>SUM(B2:B32)+95</f>
        <v>290.5</v>
      </c>
      <c r="D1" t="s">
        <v>173</v>
      </c>
      <c r="E1" s="5">
        <f>SUM(E2:E11)-95</f>
        <v>581</v>
      </c>
      <c r="G1" t="s">
        <v>174</v>
      </c>
    </row>
    <row r="2" spans="1:7" ht="12.75">
      <c r="A2" t="s">
        <v>140</v>
      </c>
      <c r="B2">
        <v>15</v>
      </c>
      <c r="D2" t="s">
        <v>175</v>
      </c>
      <c r="E2">
        <v>519</v>
      </c>
      <c r="G2" s="5">
        <f>E1+B1</f>
        <v>871.5</v>
      </c>
    </row>
    <row r="3" spans="1:5" ht="12.75">
      <c r="A3" t="s">
        <v>141</v>
      </c>
      <c r="B3">
        <v>10</v>
      </c>
      <c r="D3" t="s">
        <v>176</v>
      </c>
      <c r="E3">
        <v>-75</v>
      </c>
    </row>
    <row r="4" spans="1:5" ht="12.75">
      <c r="A4" t="s">
        <v>177</v>
      </c>
      <c r="B4">
        <v>8</v>
      </c>
      <c r="D4" t="s">
        <v>178</v>
      </c>
      <c r="E4">
        <v>137</v>
      </c>
    </row>
    <row r="5" spans="1:5" ht="12.75">
      <c r="A5" t="s">
        <v>179</v>
      </c>
      <c r="B5">
        <v>0</v>
      </c>
      <c r="D5" t="s">
        <v>180</v>
      </c>
      <c r="E5">
        <v>15</v>
      </c>
    </row>
    <row r="6" spans="1:5" ht="12.75">
      <c r="A6" t="s">
        <v>181</v>
      </c>
      <c r="B6">
        <v>10</v>
      </c>
      <c r="D6" t="s">
        <v>182</v>
      </c>
      <c r="E6">
        <v>-10</v>
      </c>
    </row>
    <row r="7" spans="1:5" ht="12.75">
      <c r="A7" t="s">
        <v>183</v>
      </c>
      <c r="B7">
        <v>7</v>
      </c>
      <c r="D7" t="s">
        <v>184</v>
      </c>
      <c r="E7">
        <v>90</v>
      </c>
    </row>
    <row r="8" spans="1:2" ht="12.75">
      <c r="A8" t="s">
        <v>185</v>
      </c>
      <c r="B8">
        <v>0</v>
      </c>
    </row>
    <row r="9" spans="1:2" ht="12.75">
      <c r="A9" t="s">
        <v>136</v>
      </c>
      <c r="B9">
        <v>0</v>
      </c>
    </row>
    <row r="10" spans="1:2" ht="12.75">
      <c r="A10" t="s">
        <v>186</v>
      </c>
      <c r="B10">
        <v>110</v>
      </c>
    </row>
    <row r="11" spans="1:2" ht="12.75">
      <c r="A11" t="s">
        <v>187</v>
      </c>
      <c r="B11">
        <v>14</v>
      </c>
    </row>
    <row r="12" spans="1:2" ht="12.75">
      <c r="A12" t="s">
        <v>188</v>
      </c>
      <c r="B12">
        <v>21.5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Kielyn Masin</dc:creator>
  <cp:keywords/>
  <dc:description/>
  <cp:lastModifiedBy>Dave and Kie Marrone</cp:lastModifiedBy>
  <dcterms:created xsi:type="dcterms:W3CDTF">2010-01-29T00:39:28Z</dcterms:created>
  <dcterms:modified xsi:type="dcterms:W3CDTF">2014-04-14T16:45:59Z</dcterms:modified>
  <cp:category/>
  <cp:version/>
  <cp:contentType/>
  <cp:contentStatus/>
  <cp:revision>22</cp:revision>
</cp:coreProperties>
</file>